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398" activeTab="3"/>
  </bookViews>
  <sheets>
    <sheet name="Costes" sheetId="1" r:id="rId1"/>
    <sheet name="Tto recibido" sheetId="2" r:id="rId2"/>
    <sheet name="Analisis RR" sheetId="3" r:id="rId3"/>
    <sheet name="Analisis NNTs" sheetId="4" r:id="rId4"/>
  </sheets>
  <definedNames>
    <definedName name="_xlnm.Print_Area" localSheetId="2">'Analisis RR'!$B$2:$AA$56</definedName>
  </definedNames>
  <calcPr fullCalcOnLoad="1"/>
</workbook>
</file>

<file path=xl/comments1.xml><?xml version="1.0" encoding="utf-8"?>
<comments xmlns="http://schemas.openxmlformats.org/spreadsheetml/2006/main">
  <authors>
    <author/>
  </authors>
  <commentList>
    <comment ref="I4" authorId="0">
      <text>
        <r>
          <rPr>
            <sz val="10"/>
            <rFont val="Arial"/>
            <family val="2"/>
          </rPr>
          <t>Cifras que se utilizan para los calculos de coste tratamiento en la pestaña "Analisis RR"</t>
        </r>
      </text>
    </comment>
    <comment ref="H5" authorId="0">
      <text>
        <r>
          <rPr>
            <sz val="10"/>
            <rFont val="Arial"/>
            <family val="2"/>
          </rPr>
          <t>Dos comprimidos por vía oral cada 8 horas</t>
        </r>
      </text>
    </comment>
    <comment ref="H6" authorId="0">
      <text>
        <r>
          <rPr>
            <sz val="10"/>
            <rFont val="Arial"/>
            <family val="2"/>
          </rPr>
          <t>800 mg administrados por vía oral tres veces al día</t>
        </r>
      </text>
    </comment>
    <comment ref="E7" authorId="0">
      <text>
        <r>
          <rPr>
            <b/>
            <sz val="8"/>
            <color indexed="8"/>
            <rFont val="Tahoma"/>
            <family val="2"/>
          </rPr>
          <t xml:space="preserve">Precios medios de adquisicion en andalucia
</t>
        </r>
        <r>
          <rPr>
            <sz val="8"/>
            <color indexed="8"/>
            <rFont val="Tahoma"/>
            <family val="2"/>
          </rPr>
          <t>Dto 26%</t>
        </r>
      </text>
    </comment>
    <comment ref="H7" authorId="0">
      <text>
        <r>
          <rPr>
            <sz val="10"/>
            <rFont val="Arial"/>
            <family val="2"/>
          </rPr>
          <t>Una inyección subcutanea a la semana</t>
        </r>
      </text>
    </comment>
    <comment ref="D8" authorId="0">
      <text>
        <r>
          <rPr>
            <sz val="10"/>
            <rFont val="Arial"/>
            <family val="2"/>
          </rPr>
          <t>No aplica el RDL 08/2010 ya que el producto es genérico</t>
        </r>
      </text>
    </comment>
    <comment ref="E8" authorId="0">
      <text>
        <r>
          <rPr>
            <sz val="8"/>
            <color indexed="8"/>
            <rFont val="Tahoma"/>
            <family val="2"/>
          </rPr>
          <t>Dto 83%</t>
        </r>
      </text>
    </comment>
    <comment ref="H8" authorId="0">
      <text>
        <r>
          <rPr>
            <b/>
            <sz val="8"/>
            <color indexed="8"/>
            <rFont val="Tahoma"/>
            <family val="2"/>
          </rPr>
          <t xml:space="preserve">
</t>
        </r>
        <r>
          <rPr>
            <sz val="8"/>
            <color indexed="8"/>
            <rFont val="Tahoma"/>
            <family val="2"/>
          </rPr>
          <t>6 capsulas 200 mg al dia</t>
        </r>
      </text>
    </comment>
  </commentList>
</comments>
</file>

<file path=xl/comments2.xml><?xml version="1.0" encoding="utf-8"?>
<comments xmlns="http://schemas.openxmlformats.org/spreadsheetml/2006/main">
  <authors>
    <author/>
  </authors>
  <commentList>
    <comment ref="C4" authorId="0">
      <text>
        <r>
          <rPr>
            <sz val="8"/>
            <color indexed="8"/>
            <rFont val="Tahoma"/>
            <family val="2"/>
          </rPr>
          <t>Ref EPAR Incivo: estudio ADVANCE pagina 51
Table 14. Treatment and study completion status and reasons for discontinuation, Full Analysis Set
Discontinued treatment (virological failure): T12/PR 38/363 10,46%</t>
        </r>
      </text>
    </comment>
    <comment ref="D4" authorId="0">
      <text>
        <r>
          <rPr>
            <sz val="8"/>
            <color indexed="8"/>
            <rFont val="Tahoma"/>
            <family val="2"/>
          </rPr>
          <t>Proporción de pacientes que discontinuan por VF en semana 4
Ref: EPAR Incivo pagina 85
"As a background, none of the 25 subjects with HCV RNA &gt;1000 IU/ml at week 4 who discontinued telaprevir in the T12/PR groups of Studies 108, 111 and C216, achieved an SVR with continued PegINF/RBV treatment"
Study 108 ADVANCE T12PR N=363
Study 111 ILLUMINATE T12PR N=540
Study C216 REALIZE T12PR N=266
En los tres estudios la regla de parada en semana 4  contemplaba la discontinuacion de telaprevir y la continuacion de la doble terapia (INF-peg+RBV) cuando los niveles de RNA HCV fueran superiores a 1000 UI/ml
Por tanto: 25/(363+540+266) = 2,14% pacientes discontinuan telaprevir en semana 4, y el resto discontinuan en semana 12.
Dado que no se dipone de este datos separadamente para pacientes naïve y pacientes pre-tratados, se supone el mismo porncetaje para ambos grupos de pacientes (2,14%)</t>
        </r>
      </text>
    </comment>
    <comment ref="D5" authorId="0">
      <text>
        <r>
          <rPr>
            <sz val="8"/>
            <color indexed="8"/>
            <rFont val="Tahoma"/>
            <family val="2"/>
          </rPr>
          <t>ADVANCE T12/PR Discontinued treatment (virological failure): 10,46%
Patients who discontinued telaprevir in the T12/PR groups of Studies 108, 111 and C216 at week 4: 2,14%
Por tanto, 10,46%-2,14%= 8,3% pacientes discontinuan por futility semana 12</t>
        </r>
      </text>
    </comment>
    <comment ref="B6" authorId="0">
      <text>
        <r>
          <rPr>
            <sz val="8"/>
            <color indexed="8"/>
            <rFont val="Tahoma"/>
            <family val="2"/>
          </rPr>
          <t>En los resultados descriptivos de los estudios, los pacientes se reportan en los grupos a que son asignados, sumando el 100% de la muestra en ese reparto.
Para calcular la distribución de pacientes total en el estudio entre todos los grupos, incluyendo los pacientes que discontinúan anticipadamente por reglas de parada, se recalcula el procentaje de pacientes del total que se asigna a las diferentes duraciones de tratamiento sobre el total de pacientes que completan tratamiento (total de pacientes tras detraer los que suspenden por reglas de parada).
El supuesto implícito es que las discontinuaciones por reglas de parada se distribuyen propocionalmente entre los grupos con las distintas duraciones de tratamiento</t>
        </r>
      </text>
    </comment>
    <comment ref="C7" authorId="0">
      <text>
        <r>
          <rPr>
            <sz val="8"/>
            <color indexed="8"/>
            <rFont val="Tahoma"/>
            <family val="2"/>
          </rPr>
          <t xml:space="preserve">Ref: estudio ADVANCE Jacobson NEJM 2011 pagina 2408 "...58%, 57%, and 8% in the three groups, respectively, had undetectable HCV RNA at weeks 4 and 12 (extended rapid  virologic response) (…) assigned to receive a total of 24 weeks of therapy" </t>
        </r>
      </text>
    </comment>
    <comment ref="C8" authorId="0">
      <text>
        <r>
          <rPr>
            <sz val="8"/>
            <color indexed="8"/>
            <rFont val="Tahoma"/>
            <family val="2"/>
          </rPr>
          <t>363 total pacientes rama T12/PR48 - 212 pacientes en tto de 12+24 = 151 pacientes en tto 12+48</t>
        </r>
      </text>
    </comment>
    <comment ref="C13" authorId="0">
      <text>
        <r>
          <rPr>
            <b/>
            <sz val="8"/>
            <color indexed="8"/>
            <rFont val="Tahoma"/>
            <family val="2"/>
          </rPr>
          <t xml:space="preserve">
</t>
        </r>
        <r>
          <rPr>
            <sz val="8"/>
            <color indexed="8"/>
            <rFont val="Tahoma"/>
            <family val="2"/>
          </rPr>
          <t>Ref: estudio REALIZE Zeumen NEJM 2011 pagina 2421
"Among patients who had a relapse, virologic failure during treatment was observed in 3 patients (1%) in the two telaprevir groups and in 18 patients (26%) in the control group. Among patients who had a previous partial response to therapy, virologic failure was observed in 9 patients (18%) in the T12PR48 group, 9 (19%) in the lead-in T12PR48 group, and 19 (70%) in the control group. For patients who had no previous response to therapy, virologic failure was observed in 41 patients (57%) in the T12PR48 group, 35 (47%) in the lead-in T12PR48 group, and 31 (84%) in the control group during the overall treatment phase"</t>
        </r>
      </text>
    </comment>
    <comment ref="D13" authorId="0">
      <text>
        <r>
          <rPr>
            <sz val="8"/>
            <color indexed="8"/>
            <rFont val="Tahoma"/>
            <family val="2"/>
          </rPr>
          <t>Proporción de pacientes que discontinuan por VF en semana 4
Ref: EPAR Incivo pagina 85
"As a background, none of the 25 subjects with HCV RNA &gt;1000 IU/ml at week 4 who discontinued telaprevir in the T12/PR groups of Studies 108, 111 and C216, achieved an SVR with continued PegINF/RBV treatment"
Study 108 ADVANCE T12PR N=363
Study 111 ILLUMINATE T12PR N=540
Study C216 REALIZE T12PR N=266
En los tres estudios la regla de parada en semana 4  contemplaba la discontinuacion de telaprevir y la continuacion de la doble terapia (INF-peg+RBV) cuando los niveles de RNA HCV fueran superiores a 1000 UI/ml
Por tanto: 25/(363+540+266) = 2,14% pacientes discontinuan telaprevir en semana 4, y el resto discontinuan en semana 12.
Dado que no se dipone de este datos separadamente para pacientes naïve y pacientes pre-tratados, se supone el mismo porncetaje para ambos grupos de pacientes (2,14%)</t>
        </r>
      </text>
    </comment>
    <comment ref="F13" authorId="0">
      <text>
        <r>
          <rPr>
            <sz val="8"/>
            <color indexed="8"/>
            <rFont val="Tahoma"/>
            <family val="2"/>
          </rPr>
          <t>Ref1: estudio REALIZE Zeumen NEJM 2011 pagina 2421
"Among patients who had a relapse, virologic failure during treatment was observed in 3 patients (1%) in the two telaprevir groups and in 18 patients (26%) in the control group. Among patients who had a previous partial response to therapy, virologic failure was observed in 9 patients (18%) in the T12PR48 group, 9 (19%) in the lead-in T12PR48 group, and 19 (70%) in the control group. For patients who had no previous response to therapy, virologic failure was observed in 41 patients (57%) in the T12PR48 group, 35 (47%) in the lead-in T12PR48 group, and 31 (84%) in the control group during the overall treatment phase"
Ref2: tabla 51 EPAR (para clarificar el reparto entre grupos de los 3 pacientes con fracaso virológico identificados en las dos ramas de Telaprevir en el artículo de Zeumen)</t>
        </r>
      </text>
    </comment>
    <comment ref="G13" authorId="0">
      <text>
        <r>
          <rPr>
            <sz val="8"/>
            <color indexed="8"/>
            <rFont val="Tahoma"/>
            <family val="2"/>
          </rPr>
          <t>no se ha considerado la discontinuación por regla de parada de semana 4 calculada como media para todos los grupos (2,14%), dado que la estimación de fracaso virológico total (entre las dos reglas de parada de semanas 4 y 12) se estima en 1,4%, lo que sería inconsistente.  Por tanto, se establece en 0%</t>
        </r>
      </text>
    </comment>
    <comment ref="I13" authorId="0">
      <text>
        <r>
          <rPr>
            <sz val="8"/>
            <color indexed="8"/>
            <rFont val="Tahoma"/>
            <family val="2"/>
          </rPr>
          <t>Ref: estudio REALIZE Zeumen NEJM 2011 pagina 2421
"Among patients who had a relapse, virologic failure during treatment was observed in 3 patients (1%) in the two telaprevir groups and in 18 patients (26%) in the control group. Among patients who had a previous partial response to therapy, virologic failure was observed in 9 patients (18%) in the T12PR48 group, 9 (19%) in the lead-in T12PR48 group, and 19 (70%) in the control group. For patients who had no previous response to therapy, virologic failure was observed in 41 patients (57%) in the T12PR48 group, 35 (47%) in the lead-in T12PR48 group, and 31 (84%) in the control group during the overall treatment phase"</t>
        </r>
      </text>
    </comment>
    <comment ref="H13" authorId="0">
      <text>
        <r>
          <rPr>
            <sz val="8"/>
            <color indexed="8"/>
            <rFont val="Tahoma"/>
            <family val="2"/>
          </rPr>
          <t>Dado que el procentaje total de finalización de tratamiento en este grupo fue de solo el  1,4%, y que la parada en la semana 12 de tratamiento fue en todos los grupos mucho más frecuente que en semana 4, realizamos el supuesto de que ninguno de los 2 pacientes que suspendieron el tratamiento lo hizo en la semana 4, asignándose ambos a la semana 12.  Por tanto, no se asigna a este grupo la estimación media de suspensión en semana 4 (2,1%)</t>
        </r>
      </text>
    </comment>
    <comment ref="J13" authorId="0">
      <text>
        <r>
          <rPr>
            <sz val="8"/>
            <color indexed="8"/>
            <rFont val="Tahoma"/>
            <family val="2"/>
          </rPr>
          <t>Proporción de pacientes que discontinuan por VF en semana 4
Ref: EPAR Incivo pagina 85
"As a background, none of the 25 subjects with HCV RNA &gt;1000 IU/ml at week 4 who discontinued telaprevir in the T12/PR groups of Studies 108, 111 and C216, achieved an SVR with continued PegINF/RBV treatment"
Study 108 ADVANCE T12PR N=363
Study 111 ILLUMINATE T12PR N=540
Study C216 REALIZE T12PR N=266
En los tres estudios la regla de parada en semana 4  contemplaba la discontinuacion de telaprevir y la continuacion de la doble terapia (INF-peg+RBV) cuando los niveles de RNA HCV fueran superiores a 1000 UI/ml
Por tanto: 25/(363+540+266) = 2,14% pacientes discontinuan telaprevir en semana 4, y el resto discontinuan en semana 12.</t>
        </r>
      </text>
    </comment>
    <comment ref="L13" authorId="0">
      <text>
        <r>
          <rPr>
            <sz val="8"/>
            <color indexed="8"/>
            <rFont val="Tahoma"/>
            <family val="2"/>
          </rPr>
          <t>Ref: estudio REALIZE Zeumen NEJM 2011 pagina 2421
"Among patients who had a relapse, virologic failure during treatment was observed in 3 patients (1%) in the two telaprevir groups and in 18 patients (26%) in the control group. Among patients who had a previous partial response to therapy, virologic failure was observed in 9 patients (18%) in the T12PR48 group, 9 (19%) in the lead-in T12PR48 group, and 19 (70%) in the control group. For patients who had no previous response to therapy, virologic failure was observed in 41 patients (57%) in the T12PR48 group, 35 (47%) in the lead-in T12PR48 group, and 31 (84%) in the control group during the overall treatment phase"</t>
        </r>
      </text>
    </comment>
    <comment ref="M13" authorId="0">
      <text>
        <r>
          <rPr>
            <sz val="8"/>
            <color indexed="8"/>
            <rFont val="Tahoma"/>
            <family val="2"/>
          </rPr>
          <t>Proporción de pacientes que discontinuan por VF en semana 4
Ref: EPAR Incivo pagina 85
"As a background, none of the 25 subjects with HCV RNA &gt;1000 IU/ml at week 4 who discontinued telaprevir in the T12/PR groups of Studies 108, 111 and C216, achieved an SVR with continued PegINF/RBV treatment"
Study 108 ADVANCE T12PR N=363
Study 111 ILLUMINATE T12PR N=540
Study C216 REALIZE T12PR N=266
En los tres estudios la regla de parada en semana 4  contemplaba la discontinuacion de telaprevir y la continuacion de la doble terapia (INF-peg+RBV) cuando los niveles de RNA HCV fueran superiores a 1000 UI/ml
Por tanto: 25/(363+540+266) = 2,14% pacientes discontinuan telaprevir en semana 4, y el resto discontinuan en semana 12.</t>
        </r>
      </text>
    </comment>
    <comment ref="D14" authorId="0">
      <text>
        <r>
          <rPr>
            <sz val="8"/>
            <color indexed="8"/>
            <rFont val="Tahoma"/>
            <family val="2"/>
          </rPr>
          <t>REALIZE T12/PR Discontinued treatment (virological failure): 19,55%
Patients who discontinued telaprevir in the T12/PR groups of Studies 108, 111 and C216 at week 4: 2,14%
Por tanto, 19,55%-2,14%= 17,41% pacientes discontinuan por futility semana 12</t>
        </r>
      </text>
    </comment>
    <comment ref="G14" authorId="0">
      <text>
        <r>
          <rPr>
            <sz val="8"/>
            <color indexed="8"/>
            <rFont val="Tahoma"/>
            <family val="2"/>
          </rPr>
          <t>REALIZE T12/PR Discontinued treatment (virological failure): Relapser 1,4% (2/145)
Patients who discontinued telaprevir in the T12/PR groups at week 4: 0% (supuesto)
Por tanto, 1,4%-0%= 1,4% pacientes discontinuan por futility semana 12</t>
        </r>
      </text>
    </comment>
    <comment ref="J14" authorId="0">
      <text>
        <r>
          <rPr>
            <sz val="8"/>
            <color indexed="8"/>
            <rFont val="Tahoma"/>
            <family val="2"/>
          </rPr>
          <t>REALIZE T12/PR Discontinued treatment (virological failure): Partial responders 18,37% (9/49)
Patients who discontinued telaprevir in the T12/PR groups of Studies 108, 111 and C216 at week 4: 2,14%
Por tanto, 18,37%-2,14%= 16,22% pacientes discontinuan por futility semana 12</t>
        </r>
      </text>
    </comment>
    <comment ref="M14" authorId="0">
      <text>
        <r>
          <rPr>
            <sz val="8"/>
            <color indexed="8"/>
            <rFont val="Tahoma"/>
            <family val="2"/>
          </rPr>
          <t>REALIZE T12/PR Discontinued treatment (virological failure): Null responders 56,94% (41/72)
Patients who discontinued telaprevir in the T12/PR groups of Studies 108, 111 and C216 at week 4: 2,14%
Por tanto, 56,94%-2,14%= 54,80% pacientes discontinuan por futility semana 12</t>
        </r>
      </text>
    </comment>
    <comment ref="B15" authorId="0">
      <text>
        <r>
          <rPr>
            <sz val="8"/>
            <color indexed="8"/>
            <rFont val="Tahoma"/>
            <family val="2"/>
          </rPr>
          <t>En los resultados descriptivos de los estudios, los pacientes se reportan en los grupos a que son asignados, sumando el 100% de la muestra en ese reparto.
Para calcular la distribución de pacientes total en el estudio entre todos los grupos, incluyendo los pacientes que discontinúan anticipadamente por reglas de parada, se recalcula el procentaje de pacientes del total que se asigna a las diferentes duraciones de tratamiento sobre el total de pacientes que completan tratamiento (total de pacientes tras detraer los que suspenden por reglas de parada).
El supuesto implícito es que las discontinuaciones por reglas de parada se distribuyen propocionalmente entre los grupos con las distintas duraciones de tratamiento</t>
        </r>
      </text>
    </comment>
    <comment ref="C16" authorId="0">
      <text>
        <r>
          <rPr>
            <sz val="8"/>
            <color indexed="8"/>
            <rFont val="Tahoma"/>
            <family val="2"/>
          </rPr>
          <t>REALIZE ( 54% de los pacientes con recaída tuvieron carga viral indetectable en las semanas 4 y 12, con lo cual podrían optar a una terapia de solo 24 semanas). Datos proveniente del informe de evaluacion de grupo GHEMA.</t>
        </r>
      </text>
    </comment>
    <comment ref="F16" authorId="0">
      <text>
        <r>
          <rPr>
            <sz val="8"/>
            <color indexed="8"/>
            <rFont val="Tahoma"/>
            <family val="2"/>
          </rPr>
          <t>REALIZE ( 54% de los pacientes con recaída tuvieron carga viral indetectable en las semanas 4 y 12, con lo cual podrían optar a una terapia de solo 24 semanas). Datos proveniente del informe de evaluacion de grupo GHEMA.</t>
        </r>
      </text>
    </comment>
    <comment ref="C17" authorId="0">
      <text>
        <r>
          <rPr>
            <sz val="8"/>
            <color indexed="8"/>
            <rFont val="Tahoma"/>
            <family val="2"/>
          </rPr>
          <t>266 total pacientes rama T12/PR48 - 78 pacientes en tto de 12+24 = 188 pacientes en tto 12+48</t>
        </r>
      </text>
    </comment>
    <comment ref="B21" authorId="0">
      <text>
        <r>
          <rPr>
            <sz val="8"/>
            <color indexed="8"/>
            <rFont val="Tahoma"/>
            <family val="2"/>
          </rPr>
          <t>En los estudios SPRINT-2, RESPOND-2 y PROVIDE un porcentaje de pacientes no toleraron adecuadamente el tratamiento con IFN-PEG+RBV, suspendiendo el tratamiento antes incluso de comenzar a recibir boceprevir.</t>
        </r>
      </text>
    </comment>
    <comment ref="C21" authorId="0">
      <text>
        <r>
          <rPr>
            <sz val="8"/>
            <color indexed="8"/>
            <rFont val="Tahoma"/>
            <family val="2"/>
          </rPr>
          <t>Supplement to Poordad F et al, NEJM 2011. Figure S1 Discontinued during lead in Cohort1 + Cohort 2 (368-350) Pg 65</t>
        </r>
      </text>
    </comment>
    <comment ref="B22" authorId="0">
      <text>
        <r>
          <rPr>
            <sz val="8"/>
            <color indexed="8"/>
            <rFont val="Tahoma"/>
            <family val="2"/>
          </rPr>
          <t>Estos pacientes, dada su respuesta a IFN-PEG+RBV no obtienen beneficio en términos de respuesta viral sostenida de recibir triple terapia, tal y como se recoje en la discusión de Poordad et al.  Por tanto, se supone en este análisis que esos pacientes continuan tratamiento con IFN-PEG+RBV</t>
        </r>
      </text>
    </comment>
    <comment ref="C22" authorId="0">
      <text>
        <r>
          <rPr>
            <sz val="8"/>
            <color indexed="8"/>
            <rFont val="Tahoma"/>
            <family val="2"/>
          </rPr>
          <t>Poordad F et al, NEJM 2011. Tabla 2. Both cohorts. Group 2 HCV RNA undetectability at wk 4. pg 1201</t>
        </r>
      </text>
    </comment>
    <comment ref="B23" authorId="0">
      <text>
        <r>
          <rPr>
            <sz val="8"/>
            <color indexed="8"/>
            <rFont val="Tahoma"/>
            <family val="2"/>
          </rPr>
          <t>Regla de parada del estudio SPRINT-2
Sin embargo, en la ficha técnica aprobada, la primera regla de parada se ha establecido en la semana 12, al igual que para los pacientes pre-tratados.  Se ha mantenido para el análisis la regla de parada fijada en el estudio, aunque ello supone sobreestimar el coste de tratamiento de los pacientes con boceprevir, al imputárseles 12 semanas más de tratamiento al 9% que paró el tratamiento por regla de parada.</t>
        </r>
      </text>
    </comment>
    <comment ref="C23" authorId="0">
      <text>
        <r>
          <rPr>
            <sz val="8"/>
            <color indexed="8"/>
            <rFont val="Tahoma"/>
            <family val="2"/>
          </rPr>
          <t>Poordad F et al, NEJM 2011. Pg 1199-1201 ".Discontinuation for reasons of futility at week 24 occurredin 84 of 311 patients (27%), 24 of 316 patients  (8%), and 28 of 311 patients (9%) in the nonblack cohort and in 24 of 52 patients (46%), 9 of 52 patients (17%), and 8 of 55 patients (15%) in the black cohort in groups 1, 2, and 3, respectively"</t>
        </r>
      </text>
    </comment>
    <comment ref="B24" authorId="0">
      <text>
        <r>
          <rPr>
            <sz val="8"/>
            <color indexed="8"/>
            <rFont val="Tahoma"/>
            <family val="2"/>
          </rPr>
          <t>En los resultados descriptivos de los estudios, los pacientes se reportan en los grupos a que son asignados, sumando el 100% de la muestra en ese reparto.
Para calcular la distribución de pacientes total en el estudio entre todos los grupos, incluyendo los pacientes que discontinúan anticipadamente por reglas de parada, se recalcula el procentaje de pacientes del total que se asigna a las diferentes duraciones de tratamiento sobre el total de pacientes que completan tratamiento (total de pacientes tras detraer los que suspenden por reglas de parada).
El supuesto implícito es que las discontinuaciones por reglas de parada se distribuyen propocionalmente entre los grupos con las distintas duraciones de tratamiento</t>
        </r>
      </text>
    </comment>
    <comment ref="C25" authorId="0">
      <text>
        <r>
          <rPr>
            <sz val="8"/>
            <color indexed="8"/>
            <rFont val="Tahoma"/>
            <family val="2"/>
          </rPr>
          <t>Poordad F et al, NEJM 2011. Tabla 2. Both cohorts. Group 2. HCV RNA detectability wk 8 through wk 24: undetectable. pg 1201</t>
        </r>
      </text>
    </comment>
    <comment ref="C26" authorId="0">
      <text>
        <r>
          <rPr>
            <sz val="8"/>
            <color indexed="8"/>
            <rFont val="Tahoma"/>
            <family val="2"/>
          </rPr>
          <t>368 total pacientes grupo 2-192 pacientes en tto de 24 semanas -16 pacientes en tto de 44 semanas = 190 pacientes  en tto de 32 semanas.</t>
        </r>
      </text>
    </comment>
    <comment ref="C27" authorId="0">
      <text>
        <r>
          <rPr>
            <sz val="8"/>
            <color indexed="8"/>
            <rFont val="Tahoma"/>
            <family val="2"/>
          </rPr>
          <t>Supplement to Poordad F et al, NEJM 2011. Figure S2B. Cirrhotics. Pg 67</t>
        </r>
      </text>
    </comment>
    <comment ref="B29" authorId="0">
      <text>
        <r>
          <rPr>
            <sz val="8"/>
            <color indexed="8"/>
            <rFont val="Tahoma"/>
            <family val="2"/>
          </rPr>
          <t xml:space="preserve">Los datos de discontinuación por reglas de parada publicados en el artículo del NEJM o el EPAR no están diferenciados por grupos de pacientes (recaedores o respondedores parciales) como en el caso de Incivo, por lo que se ha supuesto que la discontinuación en estos subgrupos es el del total de la muestra. </t>
        </r>
      </text>
    </comment>
    <comment ref="B31" authorId="0">
      <text>
        <r>
          <rPr>
            <sz val="8"/>
            <color indexed="8"/>
            <rFont val="Tahoma"/>
            <family val="2"/>
          </rPr>
          <t>En los estudios SPRINT-2, RESPOND-2 y PROVIDE un porcentaje de pacientes no toleraron adecuadamente el tratamiento con IFN-PEG+RBV, suspendiendo el tratamiento antes incluso de comenzar a recibir boceprevir.</t>
        </r>
      </text>
    </comment>
    <comment ref="C31" authorId="0">
      <text>
        <r>
          <rPr>
            <sz val="8"/>
            <color indexed="8"/>
            <rFont val="Tahoma"/>
            <family val="2"/>
          </rPr>
          <t>Supplement to Bacon B et al, NEJM 2011. Figure S1 Discontinued during lead in Arm2 + Arm3 (6+1) Pg 5</t>
        </r>
      </text>
    </comment>
    <comment ref="B32" authorId="0">
      <text>
        <r>
          <rPr>
            <sz val="8"/>
            <color indexed="8"/>
            <rFont val="Tahoma"/>
            <family val="2"/>
          </rPr>
          <t>Regla de parada del estudio RESPOND-2</t>
        </r>
      </text>
    </comment>
    <comment ref="C32" authorId="0">
      <text>
        <r>
          <rPr>
            <sz val="8"/>
            <color indexed="8"/>
            <rFont val="Tahoma"/>
            <family val="2"/>
          </rPr>
          <t xml:space="preserve">Bacon B et al. NEJM 2011 pg 1215 "The low rate of an undetectable HCV RNA level by treatment week 12 in group 1 resulted in 61% of patients discontinuing treatment for this reason, as compared with </t>
        </r>
        <r>
          <rPr>
            <b/>
            <sz val="8"/>
            <color indexed="8"/>
            <rFont val="Tahoma"/>
            <family val="2"/>
          </rPr>
          <t>22%</t>
        </r>
        <r>
          <rPr>
            <sz val="8"/>
            <color indexed="8"/>
            <rFont val="Tahoma"/>
            <family val="2"/>
          </rPr>
          <t xml:space="preserve"> and 18% of patients in </t>
        </r>
        <r>
          <rPr>
            <b/>
            <sz val="8"/>
            <color indexed="8"/>
            <rFont val="Tahoma"/>
            <family val="2"/>
          </rPr>
          <t xml:space="preserve">group 2 </t>
        </r>
        <r>
          <rPr>
            <sz val="8"/>
            <color indexed="8"/>
            <rFont val="Tahoma"/>
            <family val="2"/>
          </rPr>
          <t>and group 3, respectively (Fig. S1 in the Supplementary Appendix)"</t>
        </r>
      </text>
    </comment>
    <comment ref="B33" authorId="0">
      <text>
        <r>
          <rPr>
            <sz val="8"/>
            <color indexed="8"/>
            <rFont val="Tahoma"/>
            <family val="2"/>
          </rPr>
          <t>En los resultados descriptivos de los estudios, los pacientes se reportan en los grupos a que son asignados, sumando el 100% de la muestra en ese reparto.
Para calcular la distribución de pacientes total en el estudio entre todos los grupos, incluyendo los pacientes que discontinúan anticipadamente por reglas de parada, se recalcula el procentaje de pacientes del total que se asigna a las diferentes duraciones de tratamiento sobre el total de pacientes que completan tratamiento (total de pacientes tras detraer los que suspenden por reglas de parada).
El supuesto implícito es que las discontinuaciones por reglas de parada se distribuyen propocionalmente entre los grupos con las distintas duraciones de tratamiento</t>
        </r>
      </text>
    </comment>
    <comment ref="C34" authorId="0">
      <text>
        <r>
          <rPr>
            <sz val="8"/>
            <color indexed="8"/>
            <rFont val="Tahoma"/>
            <family val="2"/>
          </rPr>
          <t>323 total pacientes group 2 + group 3 - 39 paciente en tto 44 semanas = 284 ptes en tto de 32 semanas</t>
        </r>
      </text>
    </comment>
    <comment ref="C35" authorId="0">
      <text>
        <r>
          <rPr>
            <sz val="8"/>
            <color indexed="8"/>
            <rFont val="Tahoma"/>
            <family val="2"/>
          </rPr>
          <t xml:space="preserve">Bacon B et al NEJM 2011 pg 1214. Figure 3 Cirrhosis Yes Group 2 +Group 3: 17+22 </t>
        </r>
      </text>
    </comment>
    <comment ref="B39" authorId="0">
      <text>
        <r>
          <rPr>
            <sz val="8"/>
            <color indexed="8"/>
            <rFont val="Tahoma"/>
            <family val="2"/>
          </rPr>
          <t>En los estudios SPRINT-2, RESPOND-2 y PROVIDE un porcentaje de pacientes no toleraron adecuadamente el tratamiento con IFN-PEG+RBV, suspendiendo el tratamiento antes incluso de comenzar a recibir boceprevir.</t>
        </r>
      </text>
    </comment>
    <comment ref="C39" authorId="0">
      <text>
        <r>
          <rPr>
            <sz val="8"/>
            <color indexed="8"/>
            <rFont val="Tahoma"/>
            <family val="2"/>
          </rPr>
          <t>Poster 931 AASLD 2011 Vierling J et al. Sustained Virologic Response in Prior Null Responders to Peginterferon/Ribavirin (PR) After Retreatment With Boceprevir + PR: The PROVIDE Study. Sub-analysis Population: Prior Null Responders from SPRINT-2 and RESPOND-2. Discontinued during 4-week PR lead in</t>
        </r>
      </text>
    </comment>
    <comment ref="B40" authorId="0">
      <text>
        <r>
          <rPr>
            <sz val="8"/>
            <color indexed="8"/>
            <rFont val="Tahoma"/>
            <family val="2"/>
          </rPr>
          <t>Regla de parada del estudio PROVIDE</t>
        </r>
      </text>
    </comment>
    <comment ref="C40" authorId="0">
      <text>
        <r>
          <rPr>
            <sz val="8"/>
            <color indexed="8"/>
            <rFont val="Tahoma"/>
            <family val="2"/>
          </rPr>
          <t>Poster 931 AASLD 2011 Vierling J et al. Sustained Virologic Response in Prior Null Responders to Peginterferon/Ribavirin (PR) After Retreatment With Boceprevir + PR: The PROVIDE Study. Sub-analysis Population: Prior Null Responders from SPRINT-2 and RESPOND-2. Discontinued during treatment Treatment failure</t>
        </r>
      </text>
    </comment>
    <comment ref="C42" authorId="0">
      <text>
        <r>
          <rPr>
            <sz val="8"/>
            <color indexed="8"/>
            <rFont val="Tahoma"/>
            <family val="2"/>
          </rPr>
          <t>Poster 931 AASLD 2011 Vierling J et al. Sustained Virologic Response in Prior Null Responders to Peginterferon/Ribavirin (PR) After Retreatment With Boceprevir + PR: The PROVIDE Study. Sub-analysis Population: Prior Null Responders from SPRINT-2 and RESPOND-2.Patient Disposition: Enrolled in PROVIDE (37+11)</t>
        </r>
      </text>
    </comment>
  </commentList>
</comments>
</file>

<file path=xl/comments3.xml><?xml version="1.0" encoding="utf-8"?>
<comments xmlns="http://schemas.openxmlformats.org/spreadsheetml/2006/main">
  <authors>
    <author/>
  </authors>
  <commentList>
    <comment ref="V3" authorId="0">
      <text>
        <r>
          <rPr>
            <sz val="10"/>
            <rFont val="Arial"/>
            <family val="2"/>
          </rPr>
          <t>Fuente: datos del estudio REALIZE NEJM 2011 pagina 2422</t>
        </r>
      </text>
    </comment>
    <comment ref="X3" authorId="0">
      <text>
        <r>
          <rPr>
            <sz val="10"/>
            <rFont val="Arial"/>
            <family val="2"/>
          </rPr>
          <t>Fuente: datos del estudio REALIZE NEJM 2011 pagina 2422</t>
        </r>
      </text>
    </comment>
    <comment ref="Z3" authorId="0">
      <text>
        <r>
          <rPr>
            <sz val="10"/>
            <rFont val="Arial"/>
            <family val="2"/>
          </rPr>
          <t>Fuente: datos del estudio REALIZE NEJM 2011 pagina 2422</t>
        </r>
      </text>
    </comment>
    <comment ref="P6" authorId="0">
      <text>
        <r>
          <rPr>
            <sz val="10"/>
            <rFont val="Arial"/>
            <family val="2"/>
          </rPr>
          <t>Fuente: datos del estudio ADVANCE NEJM 2011 pagina 2412</t>
        </r>
      </text>
    </comment>
    <comment ref="Q6" authorId="0">
      <text>
        <r>
          <rPr>
            <sz val="10"/>
            <rFont val="Arial"/>
            <family val="2"/>
          </rPr>
          <t>Fuente: datos del estudio ADVANCE NEJM 2011 pagina 2412</t>
        </r>
      </text>
    </comment>
    <comment ref="V6" authorId="0">
      <text>
        <r>
          <rPr>
            <sz val="10"/>
            <rFont val="Arial"/>
            <family val="2"/>
          </rPr>
          <t>Fuente: datos del estudio REALIZE NEJM 2011 pagina 2424</t>
        </r>
      </text>
    </comment>
    <comment ref="W6" authorId="0">
      <text>
        <r>
          <rPr>
            <sz val="10"/>
            <rFont val="Arial"/>
            <family val="2"/>
          </rPr>
          <t>Fuente: datos del estudio REALIZE NEJM 2011 pagina 2424</t>
        </r>
      </text>
    </comment>
    <comment ref="X6" authorId="0">
      <text>
        <r>
          <rPr>
            <sz val="10"/>
            <rFont val="Arial"/>
            <family val="2"/>
          </rPr>
          <t>Fuente: datos del estudio REALIZE NEJM 2011 pagina 2424</t>
        </r>
      </text>
    </comment>
    <comment ref="Y6" authorId="0">
      <text>
        <r>
          <rPr>
            <sz val="10"/>
            <rFont val="Arial"/>
            <family val="2"/>
          </rPr>
          <t>Fuente: datos del estudio REALIZE NEJM 2011 pagina 2424</t>
        </r>
      </text>
    </comment>
    <comment ref="Z6" authorId="0">
      <text>
        <r>
          <rPr>
            <sz val="10"/>
            <rFont val="Arial"/>
            <family val="2"/>
          </rPr>
          <t>Fuente: datos del estudio REALIZE NEJM 2011 pagina 2425</t>
        </r>
      </text>
    </comment>
    <comment ref="AA6" authorId="0">
      <text>
        <r>
          <rPr>
            <sz val="10"/>
            <rFont val="Arial"/>
            <family val="2"/>
          </rPr>
          <t>Fuente: datos del estudio REALIZE NEJM 2011 pagina 2425</t>
        </r>
      </text>
    </comment>
    <comment ref="P23" authorId="0">
      <text>
        <r>
          <rPr>
            <sz val="10"/>
            <rFont val="Arial"/>
            <family val="2"/>
          </rPr>
          <t>Fuente: datos del estudio ADVANCE NEJM 2011 pagina 2412</t>
        </r>
      </text>
    </comment>
    <comment ref="Q23" authorId="0">
      <text>
        <r>
          <rPr>
            <sz val="10"/>
            <rFont val="Arial"/>
            <family val="2"/>
          </rPr>
          <t>Fuente: datos del estudio ADVANCE NEJM 2011 pagina 2412</t>
        </r>
      </text>
    </comment>
    <comment ref="V23" authorId="0">
      <text>
        <r>
          <rPr>
            <sz val="10"/>
            <rFont val="Arial"/>
            <family val="2"/>
          </rPr>
          <t>Fuente: datos del estudio REALIZE NEJM 2011 pagina 2424</t>
        </r>
      </text>
    </comment>
    <comment ref="W23" authorId="0">
      <text>
        <r>
          <rPr>
            <sz val="10"/>
            <rFont val="Arial"/>
            <family val="2"/>
          </rPr>
          <t>Fuente: datos del estudio REALIZE NEJM 2011 pagina 2424</t>
        </r>
      </text>
    </comment>
    <comment ref="X23" authorId="0">
      <text>
        <r>
          <rPr>
            <sz val="10"/>
            <rFont val="Arial"/>
            <family val="2"/>
          </rPr>
          <t>Fuente: datos del estudio REALIZE NEJM 2011 pagina 2424</t>
        </r>
      </text>
    </comment>
    <comment ref="Y23" authorId="0">
      <text>
        <r>
          <rPr>
            <sz val="10"/>
            <rFont val="Arial"/>
            <family val="2"/>
          </rPr>
          <t>Fuente: datos del estudio REALIZE NEJM 2011 pagina 2424</t>
        </r>
      </text>
    </comment>
    <comment ref="Z23" authorId="0">
      <text>
        <r>
          <rPr>
            <sz val="10"/>
            <rFont val="Arial"/>
            <family val="2"/>
          </rPr>
          <t>Fuente: datos del estudio REALIZE NEJM 2011 pagina 2425</t>
        </r>
      </text>
    </comment>
    <comment ref="AA23" authorId="0">
      <text>
        <r>
          <rPr>
            <sz val="10"/>
            <rFont val="Arial"/>
            <family val="2"/>
          </rPr>
          <t>Fuente: datos del estudio REALIZE NEJM 2011 pagina 2425</t>
        </r>
      </text>
    </comment>
    <comment ref="V28" authorId="0">
      <text>
        <r>
          <rPr>
            <b/>
            <sz val="8"/>
            <color indexed="8"/>
            <rFont val="Tahoma"/>
            <family val="2"/>
          </rPr>
          <t xml:space="preserve">
</t>
        </r>
        <r>
          <rPr>
            <sz val="8"/>
            <color indexed="8"/>
            <rFont val="Tahoma"/>
            <family val="2"/>
          </rPr>
          <t>Estudio RESPOND2 NEJM 2011 pagina 1212, combinando "Group 2 y Group 3"</t>
        </r>
      </text>
    </comment>
    <comment ref="X28" authorId="0">
      <text>
        <r>
          <rPr>
            <b/>
            <sz val="8"/>
            <color indexed="8"/>
            <rFont val="Tahoma"/>
            <family val="2"/>
          </rPr>
          <t xml:space="preserve">
</t>
        </r>
        <r>
          <rPr>
            <sz val="8"/>
            <color indexed="8"/>
            <rFont val="Tahoma"/>
            <family val="2"/>
          </rPr>
          <t>Estudio RESPOND2 NEJM 2011 pagina 1212, combinando "Group 2 y Group 3"</t>
        </r>
      </text>
    </comment>
    <comment ref="Z28" authorId="0">
      <text>
        <r>
          <rPr>
            <b/>
            <sz val="8"/>
            <color indexed="8"/>
            <rFont val="Tahoma"/>
            <family val="2"/>
          </rPr>
          <t xml:space="preserve">
</t>
        </r>
        <r>
          <rPr>
            <sz val="8"/>
            <color indexed="8"/>
            <rFont val="Tahoma"/>
            <family val="2"/>
          </rPr>
          <t xml:space="preserve">Fuente: estudio RESPONDE poor response pg 1213, combinando "Group 2 y 3"
</t>
        </r>
      </text>
    </comment>
    <comment ref="P31" authorId="0">
      <text>
        <r>
          <rPr>
            <sz val="10"/>
            <rFont val="Arial"/>
            <family val="2"/>
          </rPr>
          <t xml:space="preserve">Fuente: datos del estudio SPRINT-2 NEJM 2011 pagina 1201 </t>
        </r>
      </text>
    </comment>
    <comment ref="Q31" authorId="0">
      <text>
        <r>
          <rPr>
            <sz val="10"/>
            <rFont val="Arial"/>
            <family val="2"/>
          </rPr>
          <t xml:space="preserve">Fuente: datos del estudio SPRINT-2 NEJM 2011 pagina 1201 </t>
        </r>
      </text>
    </comment>
    <comment ref="S31" authorId="0">
      <text>
        <r>
          <rPr>
            <b/>
            <sz val="8"/>
            <color indexed="8"/>
            <rFont val="Tahoma"/>
            <family val="2"/>
          </rPr>
          <t xml:space="preserve">
</t>
        </r>
        <r>
          <rPr>
            <sz val="8"/>
            <color indexed="8"/>
            <rFont val="Tahoma"/>
            <family val="2"/>
          </rPr>
          <t>Estudio RESPOND2 NEJM 2011 pagina 1213</t>
        </r>
      </text>
    </comment>
    <comment ref="T31" authorId="0">
      <text>
        <r>
          <rPr>
            <b/>
            <sz val="8"/>
            <color indexed="8"/>
            <rFont val="Tahoma"/>
            <family val="2"/>
          </rPr>
          <t xml:space="preserve">
</t>
        </r>
        <r>
          <rPr>
            <sz val="8"/>
            <color indexed="8"/>
            <rFont val="Tahoma"/>
            <family val="2"/>
          </rPr>
          <t>Estudio RESPOND2 NEJM 2011 pagina 1213</t>
        </r>
      </text>
    </comment>
    <comment ref="V31" authorId="0">
      <text>
        <r>
          <rPr>
            <b/>
            <sz val="8"/>
            <color indexed="8"/>
            <rFont val="Tahoma"/>
            <family val="2"/>
          </rPr>
          <t xml:space="preserve">
</t>
        </r>
        <r>
          <rPr>
            <sz val="8"/>
            <color indexed="8"/>
            <rFont val="Tahoma"/>
            <family val="2"/>
          </rPr>
          <t>Estudio RESPOND2 NEJM 2011 pagina 1213</t>
        </r>
      </text>
    </comment>
    <comment ref="W31" authorId="0">
      <text>
        <r>
          <rPr>
            <b/>
            <sz val="8"/>
            <color indexed="8"/>
            <rFont val="Tahoma"/>
            <family val="2"/>
          </rPr>
          <t xml:space="preserve">
</t>
        </r>
        <r>
          <rPr>
            <sz val="8"/>
            <color indexed="8"/>
            <rFont val="Tahoma"/>
            <family val="2"/>
          </rPr>
          <t>Estudio RESPOND2 NEJM 2011 pagina 1213</t>
        </r>
      </text>
    </comment>
    <comment ref="X31" authorId="0">
      <text>
        <r>
          <rPr>
            <b/>
            <sz val="8"/>
            <color indexed="8"/>
            <rFont val="Tahoma"/>
            <family val="2"/>
          </rPr>
          <t xml:space="preserve">
</t>
        </r>
        <r>
          <rPr>
            <sz val="8"/>
            <color indexed="8"/>
            <rFont val="Tahoma"/>
            <family val="2"/>
          </rPr>
          <t>Estudio RESPOND2 NEJM 2011 pagina 1213</t>
        </r>
      </text>
    </comment>
    <comment ref="Y31" authorId="0">
      <text>
        <r>
          <rPr>
            <b/>
            <sz val="8"/>
            <color indexed="8"/>
            <rFont val="Tahoma"/>
            <family val="2"/>
          </rPr>
          <t xml:space="preserve">
</t>
        </r>
        <r>
          <rPr>
            <sz val="8"/>
            <color indexed="8"/>
            <rFont val="Tahoma"/>
            <family val="2"/>
          </rPr>
          <t>Estudio RESPOND2 NEJM 2011 pagina 1213</t>
        </r>
      </text>
    </comment>
    <comment ref="Z31" authorId="0">
      <text>
        <r>
          <rPr>
            <b/>
            <sz val="8"/>
            <color indexed="8"/>
            <rFont val="Tahoma"/>
            <family val="2"/>
          </rPr>
          <t xml:space="preserve">
</t>
        </r>
        <r>
          <rPr>
            <sz val="8"/>
            <color indexed="8"/>
            <rFont val="Tahoma"/>
            <family val="2"/>
          </rPr>
          <t xml:space="preserve">Fuente: estudio RESPONDE NEJM pagina 1213 "Poor response to interferon" 
</t>
        </r>
      </text>
    </comment>
    <comment ref="AA31" authorId="0">
      <text>
        <r>
          <rPr>
            <b/>
            <sz val="8"/>
            <color indexed="8"/>
            <rFont val="Tahoma"/>
            <family val="2"/>
          </rPr>
          <t xml:space="preserve">
</t>
        </r>
        <r>
          <rPr>
            <sz val="8"/>
            <color indexed="8"/>
            <rFont val="Tahoma"/>
            <family val="2"/>
          </rPr>
          <t xml:space="preserve">Fuente: estudio RESPONDE NEJM pagina 1213 "Poor response to interferon" 
</t>
        </r>
      </text>
    </comment>
    <comment ref="S52" authorId="0">
      <text>
        <r>
          <rPr>
            <sz val="8"/>
            <color indexed="8"/>
            <rFont val="Tahoma"/>
            <family val="2"/>
          </rPr>
          <t xml:space="preserve">sin incluir null responders
</t>
        </r>
      </text>
    </comment>
    <comment ref="P54" authorId="0">
      <text>
        <r>
          <rPr>
            <sz val="10"/>
            <rFont val="Arial"/>
            <family val="2"/>
          </rPr>
          <t xml:space="preserve">Fuente: datos del estudio SPRINT-2 NEJM2011 pagina 1201;
la eficacia de la rama de 368 pacientes (solo terapia guiada por respuesta) es de 63,3%, pero se asume una eficacia de 64,7%, la que resulta de los 2 brazos expuestos a boceprevir </t>
        </r>
      </text>
    </comment>
    <comment ref="Q54" authorId="0">
      <text>
        <r>
          <rPr>
            <sz val="10"/>
            <rFont val="Arial"/>
            <family val="2"/>
          </rPr>
          <t xml:space="preserve">Fuente: datos del estudio SPRINT-2 NEJM 2011 pagina 1201 </t>
        </r>
      </text>
    </comment>
    <comment ref="V54" authorId="0">
      <text>
        <r>
          <rPr>
            <b/>
            <sz val="8"/>
            <color indexed="8"/>
            <rFont val="Tahoma"/>
            <family val="2"/>
          </rPr>
          <t xml:space="preserve">
</t>
        </r>
        <r>
          <rPr>
            <sz val="8"/>
            <color indexed="8"/>
            <rFont val="Tahoma"/>
            <family val="2"/>
          </rPr>
          <t>Estudio RESPOND2 NEJM 2011 pagina 1213</t>
        </r>
      </text>
    </comment>
    <comment ref="W54" authorId="0">
      <text>
        <r>
          <rPr>
            <b/>
            <sz val="8"/>
            <color indexed="8"/>
            <rFont val="Tahoma"/>
            <family val="2"/>
          </rPr>
          <t xml:space="preserve">
</t>
        </r>
        <r>
          <rPr>
            <sz val="8"/>
            <color indexed="8"/>
            <rFont val="Tahoma"/>
            <family val="2"/>
          </rPr>
          <t>Estudio RESPOND2 NEJM 2011 pagina 1213</t>
        </r>
      </text>
    </comment>
    <comment ref="X54" authorId="0">
      <text>
        <r>
          <rPr>
            <b/>
            <sz val="8"/>
            <color indexed="8"/>
            <rFont val="Tahoma"/>
            <family val="2"/>
          </rPr>
          <t xml:space="preserve">
</t>
        </r>
        <r>
          <rPr>
            <sz val="8"/>
            <color indexed="8"/>
            <rFont val="Tahoma"/>
            <family val="2"/>
          </rPr>
          <t>Estudio RESPOND2 NEJM 2011 pagina 1213</t>
        </r>
      </text>
    </comment>
    <comment ref="Y54" authorId="0">
      <text>
        <r>
          <rPr>
            <b/>
            <sz val="8"/>
            <color indexed="8"/>
            <rFont val="Tahoma"/>
            <family val="2"/>
          </rPr>
          <t xml:space="preserve">
</t>
        </r>
        <r>
          <rPr>
            <sz val="8"/>
            <color indexed="8"/>
            <rFont val="Tahoma"/>
            <family val="2"/>
          </rPr>
          <t>Estudio RESPOND2 NEJM 2011 pagina 1213</t>
        </r>
      </text>
    </comment>
    <comment ref="Z54" authorId="0">
      <text>
        <r>
          <rPr>
            <b/>
            <sz val="8"/>
            <color indexed="8"/>
            <rFont val="Tahoma"/>
            <family val="2"/>
          </rPr>
          <t xml:space="preserve">
</t>
        </r>
        <r>
          <rPr>
            <sz val="8"/>
            <color indexed="8"/>
            <rFont val="Tahoma"/>
            <family val="2"/>
          </rPr>
          <t>Fuente: estudio PROVIDE
poster AASLD 2011</t>
        </r>
      </text>
    </comment>
    <comment ref="AA54" authorId="0">
      <text>
        <r>
          <rPr>
            <b/>
            <sz val="8"/>
            <color indexed="8"/>
            <rFont val="Tahoma"/>
            <family val="2"/>
          </rPr>
          <t xml:space="preserve">
</t>
        </r>
        <r>
          <rPr>
            <sz val="8"/>
            <color indexed="8"/>
            <rFont val="Tahoma"/>
            <family val="2"/>
          </rPr>
          <t>Fuente: estudio PROVIDE
poster AASLD 2011</t>
        </r>
      </text>
    </comment>
  </commentList>
</comments>
</file>

<file path=xl/sharedStrings.xml><?xml version="1.0" encoding="utf-8"?>
<sst xmlns="http://schemas.openxmlformats.org/spreadsheetml/2006/main" count="236" uniqueCount="144">
  <si>
    <t>Costes de adquisición de medicamentos</t>
  </si>
  <si>
    <t>Medicamento</t>
  </si>
  <si>
    <t xml:space="preserve">PVL </t>
  </si>
  <si>
    <t>Deducción del 7,5%</t>
  </si>
  <si>
    <t xml:space="preserve">Descuento comercial </t>
  </si>
  <si>
    <t xml:space="preserve">IVA + 4% </t>
  </si>
  <si>
    <t>Contenido del envase</t>
  </si>
  <si>
    <t>Dosis diaria</t>
  </si>
  <si>
    <t xml:space="preserve">Coste semanal </t>
  </si>
  <si>
    <t>TELAPREVIR</t>
  </si>
  <si>
    <t>BOCEPREVIR</t>
  </si>
  <si>
    <t>Peg-INTERFERON</t>
  </si>
  <si>
    <t>RIBAVIRINA GENERICA</t>
  </si>
  <si>
    <t>Peg-INF+ RBV</t>
  </si>
  <si>
    <t>Pacientes naïve (estudio ADVANCE )</t>
  </si>
  <si>
    <t>TELAPREVIR rama T12PR</t>
  </si>
  <si>
    <t xml:space="preserve">n </t>
  </si>
  <si>
    <t>%</t>
  </si>
  <si>
    <t>%sobre tto recibido</t>
  </si>
  <si>
    <t>Pacientes que discontinuan por futility  semana 4</t>
  </si>
  <si>
    <t>38/363</t>
  </si>
  <si>
    <t xml:space="preserve">Pacientes que discontinuan por futility  semana 12 </t>
  </si>
  <si>
    <t>Pacientes que superan las reglas de parada</t>
  </si>
  <si>
    <t>Pacientes 12 semanas TLV + 24 semanas DT</t>
  </si>
  <si>
    <t>212/363</t>
  </si>
  <si>
    <t>Pacientes 12 semanas TLV + 48 semanas DT</t>
  </si>
  <si>
    <t>151/363</t>
  </si>
  <si>
    <t>Pacientes pre-Tx (estudio REALIZE)</t>
  </si>
  <si>
    <t xml:space="preserve">Total </t>
  </si>
  <si>
    <t>Recaedores</t>
  </si>
  <si>
    <t>Resp. parciales</t>
  </si>
  <si>
    <t>Resp. nulos</t>
  </si>
  <si>
    <t>TELAPREVIR rama T12PR48</t>
  </si>
  <si>
    <t>52/266</t>
  </si>
  <si>
    <t>2/145</t>
  </si>
  <si>
    <t>9/49</t>
  </si>
  <si>
    <t>41/72</t>
  </si>
  <si>
    <t>78/266</t>
  </si>
  <si>
    <t>78/145</t>
  </si>
  <si>
    <t>0/49</t>
  </si>
  <si>
    <t>0/72</t>
  </si>
  <si>
    <t>188/266</t>
  </si>
  <si>
    <t>67/145</t>
  </si>
  <si>
    <t>49/49</t>
  </si>
  <si>
    <t>72/72</t>
  </si>
  <si>
    <t>Pacientes naïve (estudio SPRINT-2)</t>
  </si>
  <si>
    <t>BOCEPREVIR rama RGT</t>
  </si>
  <si>
    <t>Pacientes que discontinuan tras lead-in</t>
  </si>
  <si>
    <t>18/368</t>
  </si>
  <si>
    <t>Pacientes que discontinuan tras lead-in RVR</t>
  </si>
  <si>
    <t>19/368</t>
  </si>
  <si>
    <t>Pacientes que discontinuan por futility  semana 24</t>
  </si>
  <si>
    <t>33/368</t>
  </si>
  <si>
    <t>Pacientes 24 semanas BOC</t>
  </si>
  <si>
    <t>162/368</t>
  </si>
  <si>
    <t>Pacientes 32 semanas BOC</t>
  </si>
  <si>
    <t>190/368</t>
  </si>
  <si>
    <t>Pacientes 44 semanas BOC</t>
  </si>
  <si>
    <t>16/368</t>
  </si>
  <si>
    <t>Pacientes pre-Tx (estudio RESPOND-2 )</t>
  </si>
  <si>
    <t>BOCEPREVIR ramas RGT + BOC48PR</t>
  </si>
  <si>
    <t>Paciente que discontinuan tras lead-in</t>
  </si>
  <si>
    <t>7/323</t>
  </si>
  <si>
    <t>Pacientes que discontinuan por futility  semana 12</t>
  </si>
  <si>
    <t>65/323</t>
  </si>
  <si>
    <t>284/323</t>
  </si>
  <si>
    <t>39/323</t>
  </si>
  <si>
    <t>Pacientes pre-Tx respondedores nulos (estudio PROVIDE)</t>
  </si>
  <si>
    <t>3/48</t>
  </si>
  <si>
    <t>20/48</t>
  </si>
  <si>
    <t>48/48</t>
  </si>
  <si>
    <t>Duración de tratamiento</t>
  </si>
  <si>
    <t xml:space="preserve">Naïve </t>
  </si>
  <si>
    <t>Pretratados</t>
  </si>
  <si>
    <t>Respondedores Parciales</t>
  </si>
  <si>
    <t>Respondedores Nulos</t>
  </si>
  <si>
    <t>PACIENTES</t>
  </si>
  <si>
    <t>BITERAPIA</t>
  </si>
  <si>
    <t>RVS =</t>
  </si>
  <si>
    <t>RVS=</t>
  </si>
  <si>
    <t>RVS (pacientes curados / pacientes tratados)</t>
  </si>
  <si>
    <t>Coste por paciente curado</t>
  </si>
  <si>
    <t>Regla Parada w4</t>
  </si>
  <si>
    <t>Regla Parada w12</t>
  </si>
  <si>
    <t>T12PR24</t>
  </si>
  <si>
    <t>T12PR48</t>
  </si>
  <si>
    <t xml:space="preserve">RECAEDORES </t>
  </si>
  <si>
    <t>RESPONDEDORES PARCIALES</t>
  </si>
  <si>
    <t>RESPONDEDORES NULOS</t>
  </si>
  <si>
    <t>N/A</t>
  </si>
  <si>
    <t>Discont lead-in</t>
  </si>
  <si>
    <t>Regla Parada  w24</t>
  </si>
  <si>
    <t>B24PR28</t>
  </si>
  <si>
    <t>B32PR48</t>
  </si>
  <si>
    <t>B44PR48</t>
  </si>
  <si>
    <t>PACIENTES NAÏVE</t>
  </si>
  <si>
    <t>Coste Eficacia Incremental (CEI)</t>
  </si>
  <si>
    <t>Referencia</t>
  </si>
  <si>
    <t>Tipo de resultado</t>
  </si>
  <si>
    <t>VARIABLE  evaluada</t>
  </si>
  <si>
    <t xml:space="preserve">Medicamento con que se compara </t>
  </si>
  <si>
    <t>Diferencia de eficacia</t>
  </si>
  <si>
    <t xml:space="preserve">NNT (IC 95%) </t>
  </si>
  <si>
    <t>Coste incremental (A-B)</t>
  </si>
  <si>
    <t>CEI</t>
  </si>
  <si>
    <t>IC 95% CEI</t>
  </si>
  <si>
    <t>Boceprevir (estudio SPRINT-2)</t>
  </si>
  <si>
    <t>Principal</t>
  </si>
  <si>
    <t>RVS Triple terapia vs doble terapia</t>
  </si>
  <si>
    <t>PEG-IFN+ribavirina</t>
  </si>
  <si>
    <t>64,7% vs 37,7%</t>
  </si>
  <si>
    <t>3,7 (3,1-4,8)</t>
  </si>
  <si>
    <t>Telaprevir (estudio ADVANCE)</t>
  </si>
  <si>
    <t>74,7% vs 43,8%</t>
  </si>
  <si>
    <t>3,2 (2,7-4,1)</t>
  </si>
  <si>
    <t>PACIENTES PRE-TRATADOS</t>
  </si>
  <si>
    <t>Boceprevir (estudio RESPOND-2)</t>
  </si>
  <si>
    <t>Principal*</t>
  </si>
  <si>
    <t>62,5% vs 21,3%</t>
  </si>
  <si>
    <t>2,5 (2,0-3,3)</t>
  </si>
  <si>
    <t>71,6% vs 29,4%</t>
  </si>
  <si>
    <t>2,4 (1,8-3,6)</t>
  </si>
  <si>
    <t>Respondedores parciales</t>
  </si>
  <si>
    <t>46,1% vs 6,9%</t>
  </si>
  <si>
    <t>2,6 (2,0-3,9)</t>
  </si>
  <si>
    <t>Boceprevir (estudio PROVIDE)</t>
  </si>
  <si>
    <t>Principal                               (Respondedores nulos)</t>
  </si>
  <si>
    <t>38,1% vs 0%</t>
  </si>
  <si>
    <t>2,7 (1,9-4,3)</t>
  </si>
  <si>
    <t>Telaprevir (estudio REALIZE)</t>
  </si>
  <si>
    <t>64,3% vs 17,6%</t>
  </si>
  <si>
    <t>2,2 (1,9-2,7)</t>
  </si>
  <si>
    <t>83,4% vs 23,5%</t>
  </si>
  <si>
    <t>1,7 (1,4-2,1)</t>
  </si>
  <si>
    <t>59,2% vs 14,8%</t>
  </si>
  <si>
    <t>2,3 (1,6-4,0)</t>
  </si>
  <si>
    <t>Respondedores nulos</t>
  </si>
  <si>
    <t>29,2% vs 5,4%</t>
  </si>
  <si>
    <t>4,2 (2,8-9,1)</t>
  </si>
  <si>
    <t>* el Estudio RESPOND-2 no incluyó respondedores nulos históricos</t>
  </si>
  <si>
    <t>Cálculos realizados con calculadora programa SIGN modificado</t>
  </si>
  <si>
    <t>Fuente:  http://gruposdetrabajo.sefh.es/genesis/genesis/Enlaces/Calculadora_SIGN_modificada_dic_2006.xls</t>
  </si>
  <si>
    <t>Decimales de NNTs redondeados al alza</t>
  </si>
  <si>
    <t>%sobre 
tto recibido</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</si>
</sst>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_-* #,##0&quot; €&quot;_-;\-* #,##0&quot; €&quot;_-;_-* \-??&quot; €&quot;_-;_-@_-"/>
    <numFmt numFmtId="166" formatCode="0.000"/>
    <numFmt numFmtId="167" formatCode="0.0%"/>
    <numFmt numFmtId="168" formatCode="mm/yy"/>
    <numFmt numFmtId="169" formatCode="#,##0\ [$€-C0A]"/>
    <numFmt numFmtId="170" formatCode="#,##0.00\ [$€-C0A]"/>
  </numFmts>
  <fonts count="6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Arial"/>
      <family val="2"/>
    </font>
    <font>
      <b/>
      <u val="single"/>
      <sz val="11"/>
      <color indexed="56"/>
      <name val="Calibri"/>
      <family val="2"/>
    </font>
    <font>
      <sz val="11"/>
      <name val="Calibri"/>
      <family val="2"/>
    </font>
    <font>
      <b/>
      <sz val="8"/>
      <color indexed="8"/>
      <name val="Tahoma"/>
      <family val="2"/>
    </font>
    <font>
      <sz val="8"/>
      <color indexed="8"/>
      <name val="Tahoma"/>
      <family val="2"/>
    </font>
    <font>
      <b/>
      <sz val="11"/>
      <name val="Calibri"/>
      <family val="2"/>
    </font>
    <font>
      <b/>
      <sz val="10.5"/>
      <color indexed="8"/>
      <name val="Calibri"/>
      <family val="2"/>
    </font>
    <font>
      <sz val="10.5"/>
      <color indexed="8"/>
      <name val="Calibri"/>
      <family val="2"/>
    </font>
    <font>
      <b/>
      <sz val="9"/>
      <color indexed="9"/>
      <name val="Calibri"/>
      <family val="2"/>
    </font>
    <font>
      <b/>
      <sz val="10"/>
      <color indexed="9"/>
      <name val="Calibri"/>
      <family val="2"/>
    </font>
    <font>
      <b/>
      <sz val="9"/>
      <color indexed="8"/>
      <name val="Calibri"/>
      <family val="2"/>
    </font>
    <font>
      <sz val="8"/>
      <color indexed="8"/>
      <name val="Calibri"/>
      <family val="2"/>
    </font>
    <font>
      <b/>
      <sz val="8"/>
      <color indexed="8"/>
      <name val="Calibri"/>
      <family val="2"/>
    </font>
    <font>
      <b/>
      <sz val="10"/>
      <name val="Calibri"/>
      <family val="2"/>
    </font>
    <font>
      <sz val="8"/>
      <color indexed="55"/>
      <name val="Calibri"/>
      <family val="2"/>
    </font>
    <font>
      <sz val="9"/>
      <color indexed="16"/>
      <name val="Calibri"/>
      <family val="2"/>
    </font>
    <font>
      <sz val="8"/>
      <color indexed="16"/>
      <name val="Calibri"/>
      <family val="2"/>
    </font>
    <font>
      <sz val="10"/>
      <color indexed="8"/>
      <name val="Arial"/>
      <family val="2"/>
    </font>
    <font>
      <sz val="9"/>
      <color indexed="8"/>
      <name val="Calibri"/>
      <family val="2"/>
    </font>
    <font>
      <sz val="10.5"/>
      <name val="Calibri"/>
      <family val="2"/>
    </font>
    <font>
      <b/>
      <sz val="8"/>
      <color indexed="12"/>
      <name val="Calibri"/>
      <family val="2"/>
    </font>
    <font>
      <b/>
      <sz val="9"/>
      <name val="Calibri"/>
      <family val="2"/>
    </font>
    <font>
      <i/>
      <sz val="8"/>
      <color indexed="8"/>
      <name val="Calibri"/>
      <family val="2"/>
    </font>
    <font>
      <sz val="10"/>
      <name val="Calibri"/>
      <family val="2"/>
    </font>
    <font>
      <b/>
      <sz val="10"/>
      <color indexed="25"/>
      <name val="Calibri"/>
      <family val="2"/>
    </font>
    <font>
      <b/>
      <sz val="10"/>
      <color indexed="57"/>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8"/>
      <name val="Arial"/>
      <family val="2"/>
    </font>
  </fonts>
  <fills count="55">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41"/>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9"/>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53"/>
        <bgColor indexed="64"/>
      </patternFill>
    </fill>
    <fill>
      <patternFill patternType="solid">
        <fgColor indexed="50"/>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51"/>
        <bgColor indexed="64"/>
      </patternFill>
    </fill>
    <fill>
      <patternFill patternType="solid">
        <fgColor indexed="46"/>
        <bgColor indexed="64"/>
      </patternFill>
    </fill>
    <fill>
      <patternFill patternType="solid">
        <fgColor indexed="16"/>
        <bgColor indexed="64"/>
      </patternFill>
    </fill>
    <fill>
      <patternFill patternType="solid">
        <fgColor indexed="62"/>
        <bgColor indexed="64"/>
      </patternFill>
    </fill>
    <fill>
      <patternFill patternType="solid">
        <fgColor indexed="31"/>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2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54"/>
      </top>
      <bottom style="double">
        <color indexed="54"/>
      </bottom>
    </border>
    <border>
      <left style="thin">
        <color indexed="8"/>
      </left>
      <right style="thin">
        <color indexed="8"/>
      </right>
      <top style="thin">
        <color indexed="8"/>
      </top>
      <bottom style="thin">
        <color indexed="8"/>
      </bottom>
    </border>
    <border>
      <left>
        <color indexed="63"/>
      </left>
      <right style="medium">
        <color indexed="8"/>
      </right>
      <top>
        <color indexed="63"/>
      </top>
      <bottom>
        <color indexed="63"/>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style="medium">
        <color indexed="17"/>
      </left>
      <right style="medium">
        <color indexed="17"/>
      </right>
      <top style="medium">
        <color indexed="17"/>
      </top>
      <bottom>
        <color indexed="63"/>
      </bottom>
    </border>
    <border>
      <left style="medium">
        <color indexed="17"/>
      </left>
      <right style="medium">
        <color indexed="17"/>
      </right>
      <top>
        <color indexed="63"/>
      </top>
      <bottom>
        <color indexed="63"/>
      </bottom>
    </border>
    <border>
      <left style="medium">
        <color indexed="17"/>
      </left>
      <right style="medium">
        <color indexed="17"/>
      </right>
      <top>
        <color indexed="63"/>
      </top>
      <bottom style="medium">
        <color indexed="17"/>
      </bottom>
    </border>
    <border>
      <left>
        <color indexed="63"/>
      </left>
      <right style="thin">
        <color indexed="8"/>
      </right>
      <top>
        <color indexed="63"/>
      </top>
      <bottom>
        <color indexed="63"/>
      </bottom>
    </border>
    <border>
      <left style="thin">
        <color indexed="8"/>
      </left>
      <right style="medium">
        <color indexed="53"/>
      </right>
      <top>
        <color indexed="63"/>
      </top>
      <bottom>
        <color indexed="63"/>
      </bottom>
    </border>
    <border>
      <left style="medium">
        <color indexed="53"/>
      </left>
      <right style="medium">
        <color indexed="53"/>
      </right>
      <top>
        <color indexed="63"/>
      </top>
      <bottom>
        <color indexed="63"/>
      </bottom>
    </border>
    <border>
      <left style="medium">
        <color indexed="53"/>
      </left>
      <right style="medium">
        <color indexed="53"/>
      </right>
      <top>
        <color indexed="63"/>
      </top>
      <bottom style="medium">
        <color indexed="53"/>
      </bottom>
    </border>
    <border>
      <left>
        <color indexed="63"/>
      </left>
      <right>
        <color indexed="63"/>
      </right>
      <top>
        <color indexed="63"/>
      </top>
      <bottom style="medium">
        <color indexed="53"/>
      </bottom>
    </border>
    <border>
      <left style="medium">
        <color indexed="8"/>
      </left>
      <right style="medium">
        <color indexed="8"/>
      </right>
      <top style="medium">
        <color indexed="8"/>
      </top>
      <bottom style="medium">
        <color indexed="8"/>
      </bottom>
    </border>
    <border>
      <left style="thin">
        <color indexed="53"/>
      </left>
      <right>
        <color indexed="63"/>
      </right>
      <top>
        <color indexed="63"/>
      </top>
      <bottom style="thin">
        <color indexed="53"/>
      </bottom>
    </border>
    <border>
      <left>
        <color indexed="63"/>
      </left>
      <right style="thin">
        <color indexed="53"/>
      </right>
      <top>
        <color indexed="63"/>
      </top>
      <bottom style="thin">
        <color indexed="53"/>
      </bottom>
    </border>
    <border>
      <left>
        <color indexed="63"/>
      </left>
      <right>
        <color indexed="63"/>
      </right>
      <top>
        <color indexed="63"/>
      </top>
      <bottom style="thin">
        <color indexed="53"/>
      </bottom>
    </border>
    <border>
      <left style="thin">
        <color indexed="30"/>
      </left>
      <right>
        <color indexed="63"/>
      </right>
      <top style="thin">
        <color indexed="30"/>
      </top>
      <bottom>
        <color indexed="63"/>
      </bottom>
    </border>
    <border>
      <left>
        <color indexed="63"/>
      </left>
      <right style="thin">
        <color indexed="30"/>
      </right>
      <top style="thin">
        <color indexed="30"/>
      </top>
      <bottom>
        <color indexed="63"/>
      </bottom>
    </border>
    <border>
      <left style="thin">
        <color indexed="30"/>
      </left>
      <right>
        <color indexed="63"/>
      </right>
      <top>
        <color indexed="63"/>
      </top>
      <bottom style="thin">
        <color indexed="30"/>
      </bottom>
    </border>
    <border>
      <left>
        <color indexed="63"/>
      </left>
      <right style="thin">
        <color indexed="30"/>
      </right>
      <top>
        <color indexed="63"/>
      </top>
      <bottom style="thin">
        <color indexed="30"/>
      </bottom>
    </border>
    <border>
      <left style="thin">
        <color indexed="48"/>
      </left>
      <right>
        <color indexed="63"/>
      </right>
      <top>
        <color indexed="63"/>
      </top>
      <bottom style="thin">
        <color indexed="48"/>
      </bottom>
    </border>
    <border>
      <left>
        <color indexed="63"/>
      </left>
      <right style="thin">
        <color indexed="48"/>
      </right>
      <top>
        <color indexed="63"/>
      </top>
      <bottom style="thin">
        <color indexed="48"/>
      </bottom>
    </border>
    <border>
      <left>
        <color indexed="63"/>
      </left>
      <right>
        <color indexed="63"/>
      </right>
      <top>
        <color indexed="63"/>
      </top>
      <bottom style="thin">
        <color indexed="48"/>
      </bottom>
    </border>
    <border>
      <left>
        <color indexed="63"/>
      </left>
      <right>
        <color indexed="63"/>
      </right>
      <top>
        <color indexed="63"/>
      </top>
      <bottom style="thin">
        <color indexed="8"/>
      </bottom>
    </border>
    <border>
      <left style="thin">
        <color indexed="19"/>
      </left>
      <right>
        <color indexed="63"/>
      </right>
      <top style="thin">
        <color indexed="19"/>
      </top>
      <bottom>
        <color indexed="63"/>
      </bottom>
    </border>
    <border>
      <left style="thin">
        <color indexed="19"/>
      </left>
      <right>
        <color indexed="63"/>
      </right>
      <top>
        <color indexed="63"/>
      </top>
      <bottom style="thin">
        <color indexed="19"/>
      </bottom>
    </border>
    <border>
      <left>
        <color indexed="63"/>
      </left>
      <right style="thin">
        <color indexed="19"/>
      </right>
      <top>
        <color indexed="63"/>
      </top>
      <bottom style="thin">
        <color indexed="19"/>
      </bottom>
    </border>
    <border>
      <left>
        <color indexed="63"/>
      </left>
      <right style="thin">
        <color indexed="19"/>
      </right>
      <top style="thin">
        <color indexed="19"/>
      </top>
      <bottom>
        <color indexed="63"/>
      </bottom>
    </border>
    <border>
      <left>
        <color indexed="63"/>
      </left>
      <right>
        <color indexed="63"/>
      </right>
      <top>
        <color indexed="63"/>
      </top>
      <bottom style="thin">
        <color indexed="19"/>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thin">
        <color indexed="8"/>
      </bottom>
    </border>
    <border>
      <left style="thin">
        <color indexed="16"/>
      </left>
      <right style="thin">
        <color indexed="16"/>
      </right>
      <top style="thin">
        <color indexed="16"/>
      </top>
      <bottom style="thin">
        <color indexed="16"/>
      </bottom>
    </border>
    <border>
      <left style="thin">
        <color indexed="18"/>
      </left>
      <right style="thin">
        <color indexed="18"/>
      </right>
      <top style="thin">
        <color indexed="18"/>
      </top>
      <bottom style="thin">
        <color indexed="18"/>
      </bottom>
    </border>
    <border>
      <left style="medium">
        <color indexed="9"/>
      </left>
      <right style="medium">
        <color indexed="9"/>
      </right>
      <top>
        <color indexed="63"/>
      </top>
      <bottom>
        <color indexed="63"/>
      </bottom>
    </border>
    <border>
      <left>
        <color indexed="63"/>
      </left>
      <right>
        <color indexed="63"/>
      </right>
      <top style="thin">
        <color indexed="16"/>
      </top>
      <bottom style="thin">
        <color indexed="53"/>
      </bottom>
    </border>
    <border>
      <left>
        <color indexed="63"/>
      </left>
      <right>
        <color indexed="63"/>
      </right>
      <top style="thin">
        <color indexed="18"/>
      </top>
      <bottom style="thin">
        <color indexed="53"/>
      </bottom>
    </border>
    <border>
      <left style="thin">
        <color indexed="53"/>
      </left>
      <right style="thin">
        <color indexed="53"/>
      </right>
      <top style="thin">
        <color indexed="53"/>
      </top>
      <bottom>
        <color indexed="63"/>
      </bottom>
    </border>
    <border>
      <left style="thin">
        <color indexed="53"/>
      </left>
      <right>
        <color indexed="63"/>
      </right>
      <top style="thin">
        <color indexed="53"/>
      </top>
      <bottom>
        <color indexed="63"/>
      </bottom>
    </border>
    <border>
      <left style="thin">
        <color indexed="30"/>
      </left>
      <right style="thin">
        <color indexed="30"/>
      </right>
      <top style="thin">
        <color indexed="30"/>
      </top>
      <bottom>
        <color indexed="63"/>
      </bottom>
    </border>
    <border>
      <left style="thin">
        <color indexed="30"/>
      </left>
      <right style="thin">
        <color indexed="30"/>
      </right>
      <top>
        <color indexed="63"/>
      </top>
      <bottom style="thin">
        <color indexed="30"/>
      </bottom>
    </border>
    <border>
      <left style="thin">
        <color indexed="48"/>
      </left>
      <right style="thin">
        <color indexed="48"/>
      </right>
      <top style="thin">
        <color indexed="48"/>
      </top>
      <bottom>
        <color indexed="63"/>
      </bottom>
    </border>
    <border>
      <left style="thin">
        <color indexed="19"/>
      </left>
      <right style="thin">
        <color indexed="19"/>
      </right>
      <top style="thin">
        <color indexed="19"/>
      </top>
      <bottom>
        <color indexed="63"/>
      </bottom>
    </border>
    <border>
      <left style="thin">
        <color indexed="19"/>
      </left>
      <right style="thin">
        <color indexed="19"/>
      </right>
      <top>
        <color indexed="63"/>
      </top>
      <bottom style="thin">
        <color indexed="19"/>
      </bottom>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5"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 fillId="34" borderId="0" applyNumberFormat="0" applyBorder="0" applyAlignment="0" applyProtection="0"/>
    <xf numFmtId="0" fontId="46" fillId="35" borderId="0" applyNumberFormat="0" applyBorder="0" applyAlignment="0" applyProtection="0"/>
    <xf numFmtId="0" fontId="4" fillId="4" borderId="1" applyNumberFormat="0" applyAlignment="0" applyProtection="0"/>
    <xf numFmtId="0" fontId="47" fillId="36" borderId="2" applyNumberFormat="0" applyAlignment="0" applyProtection="0"/>
    <xf numFmtId="0" fontId="48" fillId="37" borderId="3" applyNumberFormat="0" applyAlignment="0" applyProtection="0"/>
    <xf numFmtId="0" fontId="49" fillId="0" borderId="4" applyNumberFormat="0" applyFill="0" applyAlignment="0" applyProtection="0"/>
    <xf numFmtId="0" fontId="5" fillId="38" borderId="5" applyNumberFormat="0" applyAlignment="0" applyProtection="0"/>
    <xf numFmtId="0" fontId="50" fillId="0" borderId="0" applyNumberFormat="0" applyFill="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51" fillId="45" borderId="2" applyNumberFormat="0" applyAlignment="0" applyProtection="0"/>
    <xf numFmtId="0" fontId="1" fillId="0" borderId="0">
      <alignment/>
      <protection/>
    </xf>
    <xf numFmtId="0" fontId="6" fillId="0" borderId="0" applyNumberFormat="0" applyFill="0" applyBorder="0" applyAlignment="0" applyProtection="0"/>
    <xf numFmtId="0" fontId="7" fillId="13" borderId="0" applyNumberFormat="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52" fillId="46" borderId="0" applyNumberFormat="0" applyBorder="0" applyAlignment="0" applyProtection="0"/>
    <xf numFmtId="0" fontId="11" fillId="5" borderId="1" applyNumberFormat="0" applyAlignment="0" applyProtection="0"/>
    <xf numFmtId="0" fontId="12" fillId="0" borderId="9" applyNumberFormat="0" applyFill="0" applyAlignment="0" applyProtection="0"/>
    <xf numFmtId="4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42" fontId="0" fillId="0" borderId="0" applyFill="0" applyBorder="0" applyAlignment="0" applyProtection="0"/>
    <xf numFmtId="0" fontId="13" fillId="47" borderId="0" applyNumberFormat="0" applyBorder="0" applyAlignment="0" applyProtection="0"/>
    <xf numFmtId="0" fontId="0" fillId="48" borderId="10" applyNumberFormat="0" applyFont="0" applyAlignment="0" applyProtection="0"/>
    <xf numFmtId="0" fontId="0" fillId="47" borderId="11" applyNumberFormat="0" applyAlignment="0" applyProtection="0"/>
    <xf numFmtId="0" fontId="14" fillId="4" borderId="12" applyNumberFormat="0" applyAlignment="0" applyProtection="0"/>
    <xf numFmtId="9" fontId="1" fillId="0" borderId="0">
      <alignment/>
      <protection/>
    </xf>
    <xf numFmtId="0" fontId="53" fillId="36" borderId="1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5" fillId="0" borderId="0" applyNumberFormat="0" applyFill="0" applyBorder="0" applyAlignment="0" applyProtection="0"/>
    <xf numFmtId="0" fontId="56" fillId="0" borderId="0" applyNumberFormat="0" applyFill="0" applyBorder="0" applyAlignment="0" applyProtection="0"/>
    <xf numFmtId="0" fontId="57" fillId="0" borderId="14" applyNumberFormat="0" applyFill="0" applyAlignment="0" applyProtection="0"/>
    <xf numFmtId="0" fontId="58" fillId="0" borderId="15" applyNumberFormat="0" applyFill="0" applyAlignment="0" applyProtection="0"/>
    <xf numFmtId="0" fontId="50" fillId="0" borderId="16" applyNumberFormat="0" applyFill="0" applyAlignment="0" applyProtection="0"/>
    <xf numFmtId="0" fontId="16" fillId="0" borderId="17" applyNumberFormat="0" applyFill="0" applyAlignment="0" applyProtection="0"/>
    <xf numFmtId="0" fontId="17" fillId="0" borderId="0" applyNumberFormat="0" applyFill="0" applyBorder="0" applyAlignment="0" applyProtection="0"/>
  </cellStyleXfs>
  <cellXfs count="217">
    <xf numFmtId="0" fontId="0" fillId="0" borderId="0" xfId="0" applyAlignment="1">
      <alignment/>
    </xf>
    <xf numFmtId="0" fontId="18" fillId="0" borderId="0" xfId="0" applyFont="1" applyAlignment="1">
      <alignment/>
    </xf>
    <xf numFmtId="0" fontId="19" fillId="49" borderId="0" xfId="72" applyFont="1" applyFill="1">
      <alignment/>
      <protection/>
    </xf>
    <xf numFmtId="0" fontId="1" fillId="49" borderId="0" xfId="72" applyFont="1" applyFill="1">
      <alignment/>
      <protection/>
    </xf>
    <xf numFmtId="0" fontId="16" fillId="14" borderId="18" xfId="72" applyFont="1" applyFill="1" applyBorder="1" applyAlignment="1">
      <alignment horizontal="center" vertical="center" wrapText="1"/>
      <protection/>
    </xf>
    <xf numFmtId="0" fontId="16" fillId="4" borderId="18" xfId="72" applyFont="1" applyFill="1" applyBorder="1" applyAlignment="1">
      <alignment horizontal="left"/>
      <protection/>
    </xf>
    <xf numFmtId="165" fontId="20" fillId="49" borderId="18" xfId="84" applyNumberFormat="1" applyFont="1" applyFill="1" applyBorder="1" applyAlignment="1" applyProtection="1">
      <alignment/>
      <protection/>
    </xf>
    <xf numFmtId="0" fontId="1" fillId="49" borderId="18" xfId="72" applyFont="1" applyFill="1" applyBorder="1" applyAlignment="1">
      <alignment/>
      <protection/>
    </xf>
    <xf numFmtId="0" fontId="1" fillId="49" borderId="18" xfId="72" applyFont="1" applyFill="1" applyBorder="1">
      <alignment/>
      <protection/>
    </xf>
    <xf numFmtId="166" fontId="1" fillId="49" borderId="18" xfId="72" applyNumberFormat="1" applyFont="1" applyFill="1" applyBorder="1">
      <alignment/>
      <protection/>
    </xf>
    <xf numFmtId="0" fontId="20" fillId="0" borderId="0" xfId="0" applyFont="1" applyAlignment="1">
      <alignment/>
    </xf>
    <xf numFmtId="0" fontId="23" fillId="13" borderId="0" xfId="0" applyFont="1" applyFill="1" applyAlignment="1">
      <alignment/>
    </xf>
    <xf numFmtId="0" fontId="20" fillId="13" borderId="0" xfId="0" applyFont="1" applyFill="1" applyAlignment="1">
      <alignment/>
    </xf>
    <xf numFmtId="0" fontId="23" fillId="14" borderId="19" xfId="0" applyFont="1" applyFill="1" applyBorder="1" applyAlignment="1">
      <alignment/>
    </xf>
    <xf numFmtId="0" fontId="23" fillId="14" borderId="20" xfId="0" applyFont="1" applyFill="1" applyBorder="1" applyAlignment="1">
      <alignment horizontal="center" wrapText="1"/>
    </xf>
    <xf numFmtId="0" fontId="23" fillId="14" borderId="21" xfId="0" applyFont="1" applyFill="1" applyBorder="1" applyAlignment="1">
      <alignment horizontal="center"/>
    </xf>
    <xf numFmtId="0" fontId="23" fillId="14" borderId="22" xfId="0" applyFont="1" applyFill="1" applyBorder="1" applyAlignment="1">
      <alignment horizontal="center"/>
    </xf>
    <xf numFmtId="0" fontId="20" fillId="0" borderId="19" xfId="0" applyFont="1" applyBorder="1" applyAlignment="1">
      <alignment/>
    </xf>
    <xf numFmtId="167" fontId="20" fillId="0" borderId="21" xfId="0" applyNumberFormat="1" applyFont="1" applyBorder="1" applyAlignment="1">
      <alignment horizontal="right"/>
    </xf>
    <xf numFmtId="167" fontId="20" fillId="0" borderId="23" xfId="0" applyNumberFormat="1" applyFont="1" applyBorder="1" applyAlignment="1">
      <alignment horizontal="center"/>
    </xf>
    <xf numFmtId="167" fontId="1" fillId="0" borderId="21" xfId="90" applyNumberFormat="1" applyFont="1" applyBorder="1" applyAlignment="1">
      <alignment horizontal="right"/>
      <protection/>
    </xf>
    <xf numFmtId="167" fontId="1" fillId="0" borderId="23" xfId="90" applyNumberFormat="1" applyFont="1" applyBorder="1" applyAlignment="1">
      <alignment horizontal="center"/>
      <protection/>
    </xf>
    <xf numFmtId="0" fontId="20" fillId="0" borderId="20" xfId="0" applyFont="1" applyBorder="1" applyAlignment="1">
      <alignment/>
    </xf>
    <xf numFmtId="0" fontId="20" fillId="0" borderId="21" xfId="0" applyFont="1" applyBorder="1" applyAlignment="1">
      <alignment horizontal="right"/>
    </xf>
    <xf numFmtId="0" fontId="20" fillId="0" borderId="19" xfId="0" applyFont="1" applyBorder="1" applyAlignment="1">
      <alignment horizontal="left" indent="2"/>
    </xf>
    <xf numFmtId="0" fontId="20" fillId="0" borderId="20" xfId="0" applyFont="1" applyBorder="1" applyAlignment="1">
      <alignment horizontal="right"/>
    </xf>
    <xf numFmtId="167" fontId="20" fillId="0" borderId="24" xfId="0" applyNumberFormat="1" applyFont="1" applyBorder="1" applyAlignment="1">
      <alignment horizontal="center"/>
    </xf>
    <xf numFmtId="0" fontId="20" fillId="0" borderId="0" xfId="0" applyFont="1" applyBorder="1" applyAlignment="1">
      <alignment horizontal="left" indent="2"/>
    </xf>
    <xf numFmtId="0" fontId="20" fillId="0" borderId="0" xfId="0" applyFont="1" applyBorder="1" applyAlignment="1">
      <alignment horizontal="right"/>
    </xf>
    <xf numFmtId="167" fontId="1" fillId="0" borderId="0" xfId="90" applyNumberFormat="1" applyFont="1" applyBorder="1" applyAlignment="1">
      <alignment horizontal="center"/>
      <protection/>
    </xf>
    <xf numFmtId="167" fontId="20" fillId="0" borderId="0" xfId="0" applyNumberFormat="1" applyFont="1" applyBorder="1" applyAlignment="1">
      <alignment horizontal="center"/>
    </xf>
    <xf numFmtId="0" fontId="20" fillId="0" borderId="0" xfId="0" applyFont="1" applyBorder="1" applyAlignment="1">
      <alignment/>
    </xf>
    <xf numFmtId="0" fontId="23" fillId="13" borderId="0" xfId="0" applyFont="1" applyFill="1" applyBorder="1" applyAlignment="1">
      <alignment/>
    </xf>
    <xf numFmtId="0" fontId="23" fillId="14" borderId="25" xfId="0" applyFont="1" applyFill="1" applyBorder="1" applyAlignment="1">
      <alignment horizontal="center" wrapText="1"/>
    </xf>
    <xf numFmtId="167" fontId="1" fillId="0" borderId="21" xfId="90" applyNumberFormat="1" applyFont="1" applyBorder="1">
      <alignment/>
      <protection/>
    </xf>
    <xf numFmtId="0" fontId="20" fillId="0" borderId="25" xfId="0" applyFont="1" applyBorder="1" applyAlignment="1">
      <alignment horizontal="center"/>
    </xf>
    <xf numFmtId="0" fontId="20" fillId="0" borderId="21" xfId="0" applyFont="1" applyBorder="1" applyAlignment="1">
      <alignment/>
    </xf>
    <xf numFmtId="0" fontId="23" fillId="47" borderId="0" xfId="0" applyFont="1" applyFill="1" applyAlignment="1">
      <alignment/>
    </xf>
    <xf numFmtId="0" fontId="20" fillId="47" borderId="0" xfId="0" applyFont="1" applyFill="1" applyAlignment="1">
      <alignment/>
    </xf>
    <xf numFmtId="10" fontId="1" fillId="0" borderId="0" xfId="90" applyNumberFormat="1">
      <alignment/>
      <protection/>
    </xf>
    <xf numFmtId="167" fontId="1" fillId="0" borderId="26" xfId="90" applyNumberFormat="1" applyFont="1" applyBorder="1">
      <alignment/>
      <protection/>
    </xf>
    <xf numFmtId="167" fontId="1" fillId="0" borderId="27" xfId="90" applyNumberFormat="1" applyFont="1" applyBorder="1" applyAlignment="1">
      <alignment horizontal="center"/>
      <protection/>
    </xf>
    <xf numFmtId="168" fontId="20" fillId="0" borderId="0" xfId="0" applyNumberFormat="1" applyFont="1" applyAlignment="1">
      <alignment/>
    </xf>
    <xf numFmtId="0" fontId="20" fillId="0" borderId="26" xfId="0" applyFont="1" applyBorder="1" applyAlignment="1">
      <alignment/>
    </xf>
    <xf numFmtId="167" fontId="20" fillId="0" borderId="0" xfId="0" applyNumberFormat="1" applyFont="1" applyAlignment="1">
      <alignment/>
    </xf>
    <xf numFmtId="167" fontId="20" fillId="0" borderId="27" xfId="0" applyNumberFormat="1" applyFont="1" applyBorder="1" applyAlignment="1">
      <alignment horizontal="center"/>
    </xf>
    <xf numFmtId="167" fontId="20" fillId="0" borderId="28" xfId="0" applyNumberFormat="1" applyFont="1" applyBorder="1" applyAlignment="1">
      <alignment horizontal="center"/>
    </xf>
    <xf numFmtId="0" fontId="20" fillId="47" borderId="29" xfId="0" applyFont="1" applyFill="1" applyBorder="1" applyAlignment="1">
      <alignment/>
    </xf>
    <xf numFmtId="0" fontId="23" fillId="14" borderId="26" xfId="0" applyFont="1" applyFill="1" applyBorder="1" applyAlignment="1">
      <alignment horizontal="center"/>
    </xf>
    <xf numFmtId="167" fontId="0" fillId="0" borderId="0" xfId="0" applyNumberFormat="1" applyAlignment="1">
      <alignment/>
    </xf>
    <xf numFmtId="167" fontId="1" fillId="0" borderId="21" xfId="90" applyNumberFormat="1" applyBorder="1">
      <alignment/>
      <protection/>
    </xf>
    <xf numFmtId="0" fontId="20" fillId="47" borderId="0" xfId="0" applyFont="1" applyFill="1" applyBorder="1" applyAlignment="1">
      <alignment/>
    </xf>
    <xf numFmtId="49" fontId="20" fillId="0" borderId="20" xfId="0" applyNumberFormat="1" applyFont="1" applyBorder="1" applyAlignment="1">
      <alignment horizontal="right"/>
    </xf>
    <xf numFmtId="9" fontId="1" fillId="0" borderId="21" xfId="90" applyNumberFormat="1" applyFont="1" applyBorder="1">
      <alignment/>
      <protection/>
    </xf>
    <xf numFmtId="0" fontId="0" fillId="0" borderId="0" xfId="0" applyFill="1" applyAlignment="1">
      <alignment/>
    </xf>
    <xf numFmtId="0" fontId="1" fillId="0" borderId="0" xfId="72" applyAlignment="1">
      <alignment vertical="center"/>
      <protection/>
    </xf>
    <xf numFmtId="0" fontId="24" fillId="4" borderId="30" xfId="72" applyFont="1" applyFill="1" applyBorder="1" applyAlignment="1">
      <alignment horizontal="center" vertical="center"/>
      <protection/>
    </xf>
    <xf numFmtId="0" fontId="24" fillId="49" borderId="0" xfId="72" applyFont="1" applyFill="1" applyBorder="1" applyAlignment="1">
      <alignment vertical="center" wrapText="1"/>
      <protection/>
    </xf>
    <xf numFmtId="0" fontId="24" fillId="49" borderId="0" xfId="72" applyFont="1" applyFill="1" applyAlignment="1">
      <alignment vertical="center" wrapText="1"/>
      <protection/>
    </xf>
    <xf numFmtId="0" fontId="27" fillId="49" borderId="0" xfId="72" applyFont="1" applyFill="1" applyBorder="1" applyAlignment="1">
      <alignment horizontal="center" vertical="center" wrapText="1" readingOrder="1"/>
      <protection/>
    </xf>
    <xf numFmtId="0" fontId="27" fillId="0" borderId="0" xfId="72" applyFont="1" applyFill="1" applyBorder="1" applyAlignment="1">
      <alignment horizontal="center" vertical="center" wrapText="1" readingOrder="1"/>
      <protection/>
    </xf>
    <xf numFmtId="0" fontId="29" fillId="49" borderId="0" xfId="72" applyFont="1" applyFill="1" applyAlignment="1">
      <alignment horizontal="center" vertical="center"/>
      <protection/>
    </xf>
    <xf numFmtId="0" fontId="1" fillId="49" borderId="0" xfId="72" applyFill="1" applyAlignment="1">
      <alignment vertical="center"/>
      <protection/>
    </xf>
    <xf numFmtId="0" fontId="16" fillId="0" borderId="0" xfId="72" applyFont="1" applyAlignment="1">
      <alignment vertical="center"/>
      <protection/>
    </xf>
    <xf numFmtId="0" fontId="30" fillId="49" borderId="0" xfId="72" applyFont="1" applyFill="1" applyBorder="1" applyAlignment="1">
      <alignment vertical="center"/>
      <protection/>
    </xf>
    <xf numFmtId="0" fontId="30" fillId="49" borderId="0" xfId="72" applyFont="1" applyFill="1" applyBorder="1" applyAlignment="1">
      <alignment vertical="center" wrapText="1"/>
      <protection/>
    </xf>
    <xf numFmtId="0" fontId="24" fillId="49" borderId="0" xfId="72" applyFont="1" applyFill="1" applyAlignment="1">
      <alignment horizontal="center" vertical="center"/>
      <protection/>
    </xf>
    <xf numFmtId="167" fontId="30" fillId="0" borderId="0" xfId="72" applyNumberFormat="1" applyFont="1" applyFill="1" applyBorder="1" applyAlignment="1">
      <alignment horizontal="center" vertical="center" wrapText="1"/>
      <protection/>
    </xf>
    <xf numFmtId="167" fontId="30" fillId="0" borderId="0" xfId="90" applyNumberFormat="1" applyFont="1" applyFill="1" applyBorder="1" applyAlignment="1" applyProtection="1">
      <alignment horizontal="center" vertical="center"/>
      <protection/>
    </xf>
    <xf numFmtId="0" fontId="16" fillId="49" borderId="0" xfId="72" applyFont="1" applyFill="1" applyAlignment="1">
      <alignment vertical="center"/>
      <protection/>
    </xf>
    <xf numFmtId="0" fontId="31" fillId="49" borderId="0" xfId="72" applyFont="1" applyFill="1" applyBorder="1" applyAlignment="1">
      <alignment horizontal="center" vertical="center" wrapText="1"/>
      <protection/>
    </xf>
    <xf numFmtId="0" fontId="25" fillId="49" borderId="0" xfId="72" applyFont="1" applyFill="1" applyAlignment="1">
      <alignment horizontal="center" vertical="center"/>
      <protection/>
    </xf>
    <xf numFmtId="0" fontId="32" fillId="49" borderId="0" xfId="72" applyFont="1" applyFill="1" applyBorder="1" applyAlignment="1">
      <alignment vertical="center" wrapText="1"/>
      <protection/>
    </xf>
    <xf numFmtId="169" fontId="24" fillId="49" borderId="0" xfId="72" applyNumberFormat="1" applyFont="1" applyFill="1" applyBorder="1" applyAlignment="1">
      <alignment horizontal="center" vertical="center" wrapText="1" readingOrder="1"/>
      <protection/>
    </xf>
    <xf numFmtId="169" fontId="24" fillId="0" borderId="0" xfId="72" applyNumberFormat="1" applyFont="1" applyFill="1" applyBorder="1" applyAlignment="1">
      <alignment horizontal="center" vertical="center" wrapText="1" readingOrder="1"/>
      <protection/>
    </xf>
    <xf numFmtId="0" fontId="33" fillId="50" borderId="31" xfId="72" applyFont="1" applyFill="1" applyBorder="1" applyAlignment="1">
      <alignment horizontal="right" vertical="center" wrapText="1" readingOrder="1"/>
      <protection/>
    </xf>
    <xf numFmtId="167" fontId="33" fillId="50" borderId="32" xfId="72" applyNumberFormat="1" applyFont="1" applyFill="1" applyBorder="1" applyAlignment="1">
      <alignment horizontal="center" vertical="center" wrapText="1" readingOrder="1"/>
      <protection/>
    </xf>
    <xf numFmtId="10" fontId="33" fillId="49" borderId="0" xfId="72" applyNumberFormat="1" applyFont="1" applyFill="1" applyBorder="1" applyAlignment="1">
      <alignment horizontal="left" vertical="center" wrapText="1" readingOrder="1"/>
      <protection/>
    </xf>
    <xf numFmtId="167" fontId="33" fillId="50" borderId="33" xfId="72" applyNumberFormat="1" applyFont="1" applyFill="1" applyBorder="1" applyAlignment="1">
      <alignment horizontal="center" vertical="center" wrapText="1" readingOrder="1"/>
      <protection/>
    </xf>
    <xf numFmtId="10" fontId="33" fillId="0" borderId="0" xfId="72" applyNumberFormat="1" applyFont="1" applyFill="1" applyBorder="1" applyAlignment="1">
      <alignment horizontal="left" vertical="center" wrapText="1" readingOrder="1"/>
      <protection/>
    </xf>
    <xf numFmtId="0" fontId="34" fillId="49" borderId="0" xfId="72" applyFont="1" applyFill="1" applyBorder="1" applyAlignment="1">
      <alignment horizontal="left" vertical="center" readingOrder="1"/>
      <protection/>
    </xf>
    <xf numFmtId="0" fontId="34" fillId="49" borderId="0" xfId="72" applyFont="1" applyFill="1" applyBorder="1" applyAlignment="1">
      <alignment horizontal="center" vertical="center" wrapText="1" readingOrder="1"/>
      <protection/>
    </xf>
    <xf numFmtId="0" fontId="34" fillId="0" borderId="0" xfId="72" applyFont="1" applyFill="1" applyBorder="1" applyAlignment="1">
      <alignment horizontal="center" vertical="center" wrapText="1" readingOrder="1"/>
      <protection/>
    </xf>
    <xf numFmtId="0" fontId="35" fillId="0" borderId="0" xfId="0" applyFont="1" applyAlignment="1">
      <alignment/>
    </xf>
    <xf numFmtId="170" fontId="28" fillId="14" borderId="0" xfId="72" applyNumberFormat="1" applyFont="1" applyFill="1" applyBorder="1" applyAlignment="1">
      <alignment vertical="center" readingOrder="1"/>
      <protection/>
    </xf>
    <xf numFmtId="0" fontId="25" fillId="49" borderId="0" xfId="72" applyFont="1" applyFill="1" applyBorder="1" applyAlignment="1">
      <alignment horizontal="center" vertical="center"/>
      <protection/>
    </xf>
    <xf numFmtId="0" fontId="29" fillId="49" borderId="0" xfId="72" applyFont="1" applyFill="1" applyBorder="1" applyAlignment="1">
      <alignment vertical="center" wrapText="1"/>
      <protection/>
    </xf>
    <xf numFmtId="169" fontId="36" fillId="0" borderId="0" xfId="72" applyNumberFormat="1" applyFont="1" applyFill="1" applyBorder="1" applyAlignment="1">
      <alignment horizontal="left" vertical="center" wrapText="1" readingOrder="1"/>
      <protection/>
    </xf>
    <xf numFmtId="0" fontId="25" fillId="28" borderId="0" xfId="72" applyFont="1" applyFill="1" applyBorder="1" applyAlignment="1">
      <alignment vertical="center"/>
      <protection/>
    </xf>
    <xf numFmtId="0" fontId="32" fillId="49" borderId="0" xfId="72" applyFont="1" applyFill="1" applyBorder="1" applyAlignment="1">
      <alignment horizontal="center" vertical="center" wrapText="1"/>
      <protection/>
    </xf>
    <xf numFmtId="0" fontId="25" fillId="49" borderId="0" xfId="72" applyFont="1" applyFill="1" applyBorder="1" applyAlignment="1">
      <alignment vertical="center" wrapText="1"/>
      <protection/>
    </xf>
    <xf numFmtId="0" fontId="25" fillId="0" borderId="0" xfId="72" applyFont="1" applyFill="1" applyBorder="1" applyAlignment="1">
      <alignment vertical="center" wrapText="1"/>
      <protection/>
    </xf>
    <xf numFmtId="0" fontId="37" fillId="50" borderId="0" xfId="72" applyFont="1" applyFill="1" applyBorder="1" applyAlignment="1">
      <alignment vertical="center"/>
      <protection/>
    </xf>
    <xf numFmtId="0" fontId="37" fillId="0" borderId="0" xfId="72" applyFont="1" applyFill="1" applyBorder="1" applyAlignment="1">
      <alignment vertical="center"/>
      <protection/>
    </xf>
    <xf numFmtId="0" fontId="25" fillId="0" borderId="0" xfId="72" applyFont="1" applyFill="1" applyAlignment="1">
      <alignment horizontal="center" vertical="center"/>
      <protection/>
    </xf>
    <xf numFmtId="0" fontId="37" fillId="50" borderId="0" xfId="72" applyFont="1" applyFill="1" applyBorder="1" applyAlignment="1">
      <alignment horizontal="center" vertical="center"/>
      <protection/>
    </xf>
    <xf numFmtId="0" fontId="25" fillId="0" borderId="34" xfId="72" applyFont="1" applyFill="1" applyBorder="1" applyAlignment="1">
      <alignment vertical="center" wrapText="1"/>
      <protection/>
    </xf>
    <xf numFmtId="0" fontId="25" fillId="0" borderId="35" xfId="72" applyFont="1" applyFill="1" applyBorder="1" applyAlignment="1">
      <alignment vertical="center" wrapText="1"/>
      <protection/>
    </xf>
    <xf numFmtId="0" fontId="25" fillId="0" borderId="36" xfId="72" applyFont="1" applyFill="1" applyBorder="1" applyAlignment="1">
      <alignment vertical="center" wrapText="1"/>
      <protection/>
    </xf>
    <xf numFmtId="0" fontId="25" fillId="0" borderId="37" xfId="72" applyFont="1" applyFill="1" applyBorder="1" applyAlignment="1">
      <alignment vertical="center" wrapText="1"/>
      <protection/>
    </xf>
    <xf numFmtId="167" fontId="38" fillId="49" borderId="0" xfId="72" applyNumberFormat="1" applyFont="1" applyFill="1" applyBorder="1" applyAlignment="1">
      <alignment horizontal="center" vertical="center" wrapText="1" readingOrder="1"/>
      <protection/>
    </xf>
    <xf numFmtId="167" fontId="38" fillId="0" borderId="0" xfId="72" applyNumberFormat="1" applyFont="1" applyFill="1" applyBorder="1" applyAlignment="1">
      <alignment horizontal="center" vertical="center" wrapText="1" readingOrder="1"/>
      <protection/>
    </xf>
    <xf numFmtId="0" fontId="38" fillId="49" borderId="0" xfId="72" applyFont="1" applyFill="1" applyBorder="1" applyAlignment="1">
      <alignment horizontal="center" vertical="center" wrapText="1"/>
      <protection/>
    </xf>
    <xf numFmtId="169" fontId="16" fillId="49" borderId="0" xfId="72" applyNumberFormat="1" applyFont="1" applyFill="1" applyBorder="1" applyAlignment="1">
      <alignment horizontal="center" vertical="center" wrapText="1" readingOrder="1"/>
      <protection/>
    </xf>
    <xf numFmtId="169" fontId="16" fillId="0" borderId="0" xfId="72" applyNumberFormat="1" applyFont="1" applyFill="1" applyBorder="1" applyAlignment="1">
      <alignment horizontal="center" vertical="center" wrapText="1" readingOrder="1"/>
      <protection/>
    </xf>
    <xf numFmtId="0" fontId="33" fillId="15" borderId="38" xfId="72" applyFont="1" applyFill="1" applyBorder="1" applyAlignment="1">
      <alignment horizontal="right" vertical="center" wrapText="1" readingOrder="1"/>
      <protection/>
    </xf>
    <xf numFmtId="167" fontId="33" fillId="15" borderId="39" xfId="72" applyNumberFormat="1" applyFont="1" applyFill="1" applyBorder="1" applyAlignment="1">
      <alignment horizontal="center" vertical="center" wrapText="1" readingOrder="1"/>
      <protection/>
    </xf>
    <xf numFmtId="167" fontId="33" fillId="15" borderId="38" xfId="72" applyNumberFormat="1" applyFont="1" applyFill="1" applyBorder="1" applyAlignment="1">
      <alignment horizontal="right" vertical="center" wrapText="1" readingOrder="1"/>
      <protection/>
    </xf>
    <xf numFmtId="167" fontId="33" fillId="15" borderId="39" xfId="72" applyNumberFormat="1" applyFont="1" applyFill="1" applyBorder="1" applyAlignment="1">
      <alignment horizontal="right" vertical="center" wrapText="1" readingOrder="1"/>
      <protection/>
    </xf>
    <xf numFmtId="0" fontId="33" fillId="15" borderId="40" xfId="72" applyFont="1" applyFill="1" applyBorder="1" applyAlignment="1">
      <alignment horizontal="right" vertical="center" wrapText="1" readingOrder="1"/>
      <protection/>
    </xf>
    <xf numFmtId="0" fontId="38" fillId="49" borderId="0" xfId="72" applyFont="1" applyFill="1" applyBorder="1" applyAlignment="1">
      <alignment vertical="center" wrapText="1"/>
      <protection/>
    </xf>
    <xf numFmtId="170" fontId="39" fillId="14" borderId="0" xfId="72" applyNumberFormat="1" applyFont="1" applyFill="1" applyBorder="1" applyAlignment="1">
      <alignment vertical="center" readingOrder="1"/>
      <protection/>
    </xf>
    <xf numFmtId="0" fontId="31" fillId="14" borderId="0" xfId="72" applyFont="1" applyFill="1" applyBorder="1" applyAlignment="1">
      <alignment horizontal="center" vertical="center" wrapText="1"/>
      <protection/>
    </xf>
    <xf numFmtId="169" fontId="33" fillId="0" borderId="0" xfId="72" applyNumberFormat="1" applyFont="1" applyFill="1" applyBorder="1" applyAlignment="1">
      <alignment horizontal="left" vertical="center" wrapText="1" readingOrder="1"/>
      <protection/>
    </xf>
    <xf numFmtId="0" fontId="0" fillId="51" borderId="0" xfId="0" applyFill="1" applyAlignment="1">
      <alignment/>
    </xf>
    <xf numFmtId="0" fontId="32" fillId="0" borderId="0" xfId="72" applyFont="1" applyFill="1" applyBorder="1" applyAlignment="1">
      <alignment horizontal="center" vertical="center" wrapText="1" readingOrder="1"/>
      <protection/>
    </xf>
    <xf numFmtId="0" fontId="29" fillId="49" borderId="0" xfId="72" applyFont="1" applyFill="1" applyBorder="1" applyAlignment="1">
      <alignment horizontal="center" vertical="center"/>
      <protection/>
    </xf>
    <xf numFmtId="169" fontId="36" fillId="4" borderId="0" xfId="72" applyNumberFormat="1" applyFont="1" applyFill="1" applyBorder="1" applyAlignment="1">
      <alignment horizontal="left" vertical="center" wrapText="1" readingOrder="1"/>
      <protection/>
    </xf>
    <xf numFmtId="0" fontId="0" fillId="0" borderId="41" xfId="0" applyBorder="1" applyAlignment="1">
      <alignment/>
    </xf>
    <xf numFmtId="0" fontId="25" fillId="0" borderId="0" xfId="72" applyFont="1" applyFill="1" applyBorder="1" applyAlignment="1">
      <alignment horizontal="center" vertical="center"/>
      <protection/>
    </xf>
    <xf numFmtId="0" fontId="25" fillId="0" borderId="0" xfId="72" applyFont="1" applyFill="1" applyBorder="1" applyAlignment="1">
      <alignment vertical="center"/>
      <protection/>
    </xf>
    <xf numFmtId="169" fontId="24" fillId="13" borderId="42" xfId="72" applyNumberFormat="1" applyFont="1" applyFill="1" applyBorder="1" applyAlignment="1">
      <alignment horizontal="center" vertical="center" wrapText="1" readingOrder="1"/>
      <protection/>
    </xf>
    <xf numFmtId="169" fontId="24" fillId="13" borderId="0" xfId="72" applyNumberFormat="1" applyFont="1" applyFill="1" applyBorder="1" applyAlignment="1">
      <alignment horizontal="center" vertical="center" wrapText="1" readingOrder="1"/>
      <protection/>
    </xf>
    <xf numFmtId="167" fontId="38" fillId="13" borderId="43" xfId="72" applyNumberFormat="1" applyFont="1" applyFill="1" applyBorder="1" applyAlignment="1">
      <alignment horizontal="center" vertical="center" wrapText="1" readingOrder="1"/>
      <protection/>
    </xf>
    <xf numFmtId="167" fontId="38" fillId="13" borderId="44" xfId="72" applyNumberFormat="1" applyFont="1" applyFill="1" applyBorder="1" applyAlignment="1">
      <alignment horizontal="center" vertical="center" wrapText="1" readingOrder="1"/>
      <protection/>
    </xf>
    <xf numFmtId="0" fontId="25" fillId="0" borderId="42" xfId="72" applyFont="1" applyFill="1" applyBorder="1" applyAlignment="1">
      <alignment vertical="center" wrapText="1"/>
      <protection/>
    </xf>
    <xf numFmtId="0" fontId="25" fillId="0" borderId="45" xfId="72" applyFont="1" applyFill="1" applyBorder="1" applyAlignment="1">
      <alignment vertical="center" wrapText="1"/>
      <protection/>
    </xf>
    <xf numFmtId="0" fontId="25" fillId="0" borderId="43" xfId="72" applyFont="1" applyFill="1" applyBorder="1" applyAlignment="1">
      <alignment vertical="center" wrapText="1"/>
      <protection/>
    </xf>
    <xf numFmtId="0" fontId="25" fillId="0" borderId="44" xfId="72" applyFont="1" applyFill="1" applyBorder="1" applyAlignment="1">
      <alignment vertical="center" wrapText="1"/>
      <protection/>
    </xf>
    <xf numFmtId="0" fontId="33" fillId="30" borderId="43" xfId="72" applyFont="1" applyFill="1" applyBorder="1" applyAlignment="1">
      <alignment horizontal="right" vertical="center" wrapText="1" readingOrder="1"/>
      <protection/>
    </xf>
    <xf numFmtId="167" fontId="33" fillId="30" borderId="44" xfId="72" applyNumberFormat="1" applyFont="1" applyFill="1" applyBorder="1" applyAlignment="1">
      <alignment horizontal="center" vertical="center" wrapText="1" readingOrder="1"/>
      <protection/>
    </xf>
    <xf numFmtId="0" fontId="33" fillId="30" borderId="46" xfId="72" applyFont="1" applyFill="1" applyBorder="1" applyAlignment="1">
      <alignment horizontal="right" vertical="center" wrapText="1" readingOrder="1"/>
      <protection/>
    </xf>
    <xf numFmtId="169" fontId="33" fillId="49" borderId="0" xfId="72" applyNumberFormat="1" applyFont="1" applyFill="1" applyBorder="1" applyAlignment="1">
      <alignment horizontal="left" vertical="center" wrapText="1" readingOrder="1"/>
      <protection/>
    </xf>
    <xf numFmtId="0" fontId="40" fillId="0" borderId="0" xfId="72" applyFont="1" applyFill="1" applyBorder="1" applyAlignment="1">
      <alignment vertical="center"/>
      <protection/>
    </xf>
    <xf numFmtId="0" fontId="1" fillId="0" borderId="0" xfId="72" applyFill="1" applyBorder="1" applyAlignment="1">
      <alignment vertical="center"/>
      <protection/>
    </xf>
    <xf numFmtId="0" fontId="41" fillId="0" borderId="0" xfId="0" applyFont="1" applyAlignment="1">
      <alignment horizontal="center"/>
    </xf>
    <xf numFmtId="0" fontId="31" fillId="0" borderId="0" xfId="0" applyFont="1" applyAlignment="1">
      <alignment horizontal="left"/>
    </xf>
    <xf numFmtId="0" fontId="31" fillId="14" borderId="30" xfId="0" applyFont="1" applyFill="1" applyBorder="1" applyAlignment="1">
      <alignment horizontal="center" vertical="top" wrapText="1"/>
    </xf>
    <xf numFmtId="0" fontId="41" fillId="0" borderId="47" xfId="0" applyFont="1" applyBorder="1" applyAlignment="1">
      <alignment horizontal="left" vertical="center" wrapText="1"/>
    </xf>
    <xf numFmtId="0" fontId="41" fillId="0" borderId="48" xfId="0" applyFont="1" applyBorder="1" applyAlignment="1">
      <alignment horizontal="center" vertical="center" wrapText="1"/>
    </xf>
    <xf numFmtId="165" fontId="41" fillId="0" borderId="47" xfId="84" applyNumberFormat="1" applyFont="1" applyFill="1" applyBorder="1" applyAlignment="1" applyProtection="1">
      <alignment horizontal="center" vertical="center"/>
      <protection/>
    </xf>
    <xf numFmtId="165" fontId="42" fillId="0" borderId="49" xfId="84" applyNumberFormat="1" applyFont="1" applyFill="1" applyBorder="1" applyAlignment="1" applyProtection="1">
      <alignment horizontal="center" vertical="center"/>
      <protection/>
    </xf>
    <xf numFmtId="165" fontId="41" fillId="0" borderId="49" xfId="84" applyNumberFormat="1" applyFont="1" applyFill="1" applyBorder="1" applyAlignment="1" applyProtection="1">
      <alignment horizontal="center" vertical="center"/>
      <protection/>
    </xf>
    <xf numFmtId="0" fontId="41" fillId="0" borderId="30" xfId="0" applyFont="1" applyBorder="1" applyAlignment="1">
      <alignment horizontal="left" vertical="center" wrapText="1"/>
    </xf>
    <xf numFmtId="0" fontId="41" fillId="0" borderId="30" xfId="0" applyFont="1" applyBorder="1" applyAlignment="1">
      <alignment horizontal="center" vertical="center" wrapText="1"/>
    </xf>
    <xf numFmtId="165" fontId="41" fillId="0" borderId="30" xfId="84" applyNumberFormat="1" applyFont="1" applyFill="1" applyBorder="1" applyAlignment="1" applyProtection="1">
      <alignment horizontal="center" vertical="center"/>
      <protection/>
    </xf>
    <xf numFmtId="165" fontId="43" fillId="0" borderId="50" xfId="84" applyNumberFormat="1" applyFont="1" applyFill="1" applyBorder="1" applyAlignment="1" applyProtection="1">
      <alignment horizontal="center" vertical="center"/>
      <protection/>
    </xf>
    <xf numFmtId="165" fontId="41" fillId="0" borderId="50" xfId="84" applyNumberFormat="1" applyFont="1" applyFill="1" applyBorder="1" applyAlignment="1" applyProtection="1">
      <alignment horizontal="center" vertical="center"/>
      <protection/>
    </xf>
    <xf numFmtId="0" fontId="41" fillId="0" borderId="0" xfId="0" applyFont="1" applyBorder="1" applyAlignment="1">
      <alignment horizontal="center"/>
    </xf>
    <xf numFmtId="0" fontId="41" fillId="0" borderId="0" xfId="0" applyFont="1" applyBorder="1" applyAlignment="1">
      <alignment horizontal="center" vertical="top" wrapText="1"/>
    </xf>
    <xf numFmtId="0" fontId="41" fillId="0" borderId="0" xfId="0" applyFont="1" applyBorder="1" applyAlignment="1">
      <alignment horizontal="center" vertical="center" wrapText="1"/>
    </xf>
    <xf numFmtId="165" fontId="41" fillId="0" borderId="0" xfId="84" applyNumberFormat="1" applyFont="1" applyFill="1" applyBorder="1" applyAlignment="1" applyProtection="1">
      <alignment horizontal="center" vertical="center"/>
      <protection/>
    </xf>
    <xf numFmtId="165" fontId="41" fillId="0" borderId="19" xfId="84" applyNumberFormat="1" applyFont="1" applyFill="1" applyBorder="1" applyAlignment="1" applyProtection="1">
      <alignment horizontal="center" vertical="center"/>
      <protection/>
    </xf>
    <xf numFmtId="0" fontId="31" fillId="14" borderId="51" xfId="0" applyFont="1" applyFill="1" applyBorder="1" applyAlignment="1">
      <alignment horizontal="center" vertical="top" wrapText="1"/>
    </xf>
    <xf numFmtId="0" fontId="41" fillId="0" borderId="52" xfId="0" applyFont="1" applyBorder="1" applyAlignment="1">
      <alignment horizontal="left" vertical="center" wrapText="1"/>
    </xf>
    <xf numFmtId="0" fontId="41" fillId="0" borderId="52" xfId="0" applyFont="1" applyBorder="1" applyAlignment="1">
      <alignment horizontal="center" vertical="center" wrapText="1"/>
    </xf>
    <xf numFmtId="0" fontId="41" fillId="0" borderId="53" xfId="0" applyFont="1" applyBorder="1" applyAlignment="1">
      <alignment horizontal="center" vertical="center" wrapText="1"/>
    </xf>
    <xf numFmtId="165" fontId="41" fillId="0" borderId="52" xfId="84" applyNumberFormat="1" applyFont="1" applyFill="1" applyBorder="1" applyAlignment="1" applyProtection="1">
      <alignment horizontal="center" vertical="center"/>
      <protection/>
    </xf>
    <xf numFmtId="165" fontId="42" fillId="0" borderId="54" xfId="84" applyNumberFormat="1" applyFont="1" applyFill="1" applyBorder="1" applyAlignment="1" applyProtection="1">
      <alignment horizontal="center" vertical="center"/>
      <protection/>
    </xf>
    <xf numFmtId="0" fontId="41" fillId="0" borderId="55" xfId="0" applyFont="1" applyBorder="1" applyAlignment="1">
      <alignment horizontal="left" vertical="center" wrapText="1"/>
    </xf>
    <xf numFmtId="0" fontId="41" fillId="0" borderId="56" xfId="0" applyFont="1" applyBorder="1" applyAlignment="1">
      <alignment horizontal="center" vertical="center" wrapText="1"/>
    </xf>
    <xf numFmtId="0" fontId="41" fillId="0" borderId="41" xfId="0" applyFont="1" applyBorder="1" applyAlignment="1">
      <alignment horizontal="center" vertical="center" wrapText="1"/>
    </xf>
    <xf numFmtId="165" fontId="41" fillId="0" borderId="56" xfId="84" applyNumberFormat="1" applyFont="1" applyFill="1" applyBorder="1" applyAlignment="1" applyProtection="1">
      <alignment horizontal="center" vertical="center"/>
      <protection/>
    </xf>
    <xf numFmtId="165" fontId="42" fillId="0" borderId="57" xfId="84" applyNumberFormat="1" applyFont="1" applyFill="1" applyBorder="1" applyAlignment="1" applyProtection="1">
      <alignment horizontal="center" vertical="center"/>
      <protection/>
    </xf>
    <xf numFmtId="165" fontId="41" fillId="0" borderId="57" xfId="84" applyNumberFormat="1" applyFont="1" applyFill="1" applyBorder="1" applyAlignment="1" applyProtection="1">
      <alignment horizontal="center" vertical="center"/>
      <protection/>
    </xf>
    <xf numFmtId="0" fontId="41" fillId="0" borderId="48" xfId="0" applyFont="1" applyBorder="1" applyAlignment="1">
      <alignment horizontal="left" vertical="center" wrapText="1"/>
    </xf>
    <xf numFmtId="0" fontId="41" fillId="0" borderId="58" xfId="0" applyFont="1" applyBorder="1" applyAlignment="1">
      <alignment horizontal="center" vertical="center" wrapText="1"/>
    </xf>
    <xf numFmtId="165" fontId="42" fillId="0" borderId="50" xfId="84" applyNumberFormat="1" applyFont="1" applyFill="1" applyBorder="1" applyAlignment="1" applyProtection="1">
      <alignment horizontal="center" vertical="center"/>
      <protection/>
    </xf>
    <xf numFmtId="165" fontId="43" fillId="0" borderId="54" xfId="84" applyNumberFormat="1" applyFont="1" applyFill="1" applyBorder="1" applyAlignment="1" applyProtection="1">
      <alignment horizontal="center" vertical="center"/>
      <protection/>
    </xf>
    <xf numFmtId="165" fontId="41" fillId="0" borderId="54" xfId="84" applyNumberFormat="1" applyFont="1" applyFill="1" applyBorder="1" applyAlignment="1" applyProtection="1">
      <alignment horizontal="center" vertical="center"/>
      <protection/>
    </xf>
    <xf numFmtId="0" fontId="41" fillId="0" borderId="55" xfId="0" applyFont="1" applyBorder="1" applyAlignment="1">
      <alignment horizontal="center" vertical="center" wrapText="1"/>
    </xf>
    <xf numFmtId="0" fontId="41" fillId="0" borderId="59" xfId="0" applyFont="1" applyBorder="1" applyAlignment="1">
      <alignment horizontal="center" vertical="center" wrapText="1"/>
    </xf>
    <xf numFmtId="165" fontId="41" fillId="0" borderId="55" xfId="84" applyNumberFormat="1" applyFont="1" applyFill="1" applyBorder="1" applyAlignment="1" applyProtection="1">
      <alignment horizontal="center" vertical="center"/>
      <protection/>
    </xf>
    <xf numFmtId="165" fontId="43" fillId="0" borderId="60" xfId="84" applyNumberFormat="1" applyFont="1" applyFill="1" applyBorder="1" applyAlignment="1" applyProtection="1">
      <alignment horizontal="center" vertical="center"/>
      <protection/>
    </xf>
    <xf numFmtId="165" fontId="41" fillId="0" borderId="60" xfId="84" applyNumberFormat="1" applyFont="1" applyFill="1" applyBorder="1" applyAlignment="1" applyProtection="1">
      <alignment horizontal="center" vertical="center"/>
      <protection/>
    </xf>
    <xf numFmtId="165" fontId="43" fillId="0" borderId="49" xfId="84" applyNumberFormat="1" applyFont="1" applyFill="1" applyBorder="1" applyAlignment="1" applyProtection="1">
      <alignment horizontal="center" vertical="center"/>
      <protection/>
    </xf>
    <xf numFmtId="0" fontId="41" fillId="0" borderId="0" xfId="0" applyFont="1" applyAlignment="1">
      <alignment horizontal="left" vertical="center"/>
    </xf>
    <xf numFmtId="0" fontId="23" fillId="14" borderId="22" xfId="0" applyFont="1" applyFill="1" applyBorder="1" applyAlignment="1">
      <alignment horizontal="center" wrapText="1"/>
    </xf>
    <xf numFmtId="0" fontId="20" fillId="0" borderId="20" xfId="0" applyFont="1" applyBorder="1" applyAlignment="1">
      <alignment horizontal="center" vertical="center" wrapText="1"/>
    </xf>
    <xf numFmtId="0" fontId="23" fillId="13" borderId="0" xfId="0" applyFont="1" applyFill="1" applyBorder="1" applyAlignment="1">
      <alignment horizontal="center"/>
    </xf>
    <xf numFmtId="0" fontId="20" fillId="0" borderId="25" xfId="0" applyFont="1" applyBorder="1" applyAlignment="1">
      <alignment horizontal="center" vertical="center"/>
    </xf>
    <xf numFmtId="49" fontId="20" fillId="0" borderId="25" xfId="0" applyNumberFormat="1" applyFont="1" applyBorder="1" applyAlignment="1">
      <alignment horizontal="center" vertical="center"/>
    </xf>
    <xf numFmtId="0" fontId="25" fillId="4" borderId="30" xfId="72" applyFont="1" applyFill="1" applyBorder="1" applyAlignment="1">
      <alignment horizontal="center" vertical="center"/>
      <protection/>
    </xf>
    <xf numFmtId="0" fontId="26" fillId="52" borderId="61" xfId="72" applyFont="1" applyFill="1" applyBorder="1" applyAlignment="1">
      <alignment horizontal="center" vertical="center" wrapText="1" readingOrder="1"/>
      <protection/>
    </xf>
    <xf numFmtId="0" fontId="26" fillId="53" borderId="62" xfId="72" applyFont="1" applyFill="1" applyBorder="1" applyAlignment="1">
      <alignment horizontal="center" vertical="center" wrapText="1" readingOrder="1"/>
      <protection/>
    </xf>
    <xf numFmtId="0" fontId="28" fillId="15" borderId="63" xfId="72" applyFont="1" applyFill="1" applyBorder="1" applyAlignment="1">
      <alignment horizontal="center" vertical="center" wrapText="1" readingOrder="1"/>
      <protection/>
    </xf>
    <xf numFmtId="9" fontId="30" fillId="0" borderId="64" xfId="72" applyNumberFormat="1" applyFont="1" applyFill="1" applyBorder="1" applyAlignment="1">
      <alignment horizontal="center" vertical="center" wrapText="1" readingOrder="1"/>
      <protection/>
    </xf>
    <xf numFmtId="167" fontId="30" fillId="0" borderId="65" xfId="72" applyNumberFormat="1" applyFont="1" applyFill="1" applyBorder="1" applyAlignment="1">
      <alignment horizontal="center" vertical="center" wrapText="1"/>
      <protection/>
    </xf>
    <xf numFmtId="167" fontId="30" fillId="49" borderId="33" xfId="90" applyNumberFormat="1" applyFont="1" applyFill="1" applyBorder="1" applyAlignment="1" applyProtection="1">
      <alignment horizontal="center" vertical="center"/>
      <protection/>
    </xf>
    <xf numFmtId="0" fontId="31" fillId="50" borderId="0" xfId="72" applyFont="1" applyFill="1" applyBorder="1" applyAlignment="1">
      <alignment horizontal="center" vertical="center"/>
      <protection/>
    </xf>
    <xf numFmtId="169" fontId="24" fillId="50" borderId="66" xfId="72" applyNumberFormat="1" applyFont="1" applyFill="1" applyBorder="1" applyAlignment="1">
      <alignment horizontal="center" vertical="center" wrapText="1" readingOrder="1"/>
      <protection/>
    </xf>
    <xf numFmtId="169" fontId="24" fillId="50" borderId="67" xfId="72" applyNumberFormat="1" applyFont="1" applyFill="1" applyBorder="1" applyAlignment="1">
      <alignment horizontal="center" vertical="center" wrapText="1" readingOrder="1"/>
      <protection/>
    </xf>
    <xf numFmtId="0" fontId="25" fillId="50" borderId="0" xfId="72" applyFont="1" applyFill="1" applyBorder="1" applyAlignment="1">
      <alignment horizontal="center" vertical="center"/>
      <protection/>
    </xf>
    <xf numFmtId="169" fontId="28" fillId="14" borderId="0" xfId="72" applyNumberFormat="1" applyFont="1" applyFill="1" applyBorder="1" applyAlignment="1">
      <alignment horizontal="center" vertical="center" wrapText="1" readingOrder="1"/>
      <protection/>
    </xf>
    <xf numFmtId="0" fontId="31" fillId="5" borderId="0" xfId="72" applyFont="1" applyFill="1" applyBorder="1" applyAlignment="1">
      <alignment horizontal="center" vertical="center"/>
      <protection/>
    </xf>
    <xf numFmtId="169" fontId="24" fillId="2" borderId="68" xfId="72" applyNumberFormat="1" applyFont="1" applyFill="1" applyBorder="1" applyAlignment="1">
      <alignment horizontal="center" vertical="center" wrapText="1" readingOrder="1"/>
      <protection/>
    </xf>
    <xf numFmtId="167" fontId="38" fillId="2" borderId="69" xfId="72" applyNumberFormat="1" applyFont="1" applyFill="1" applyBorder="1" applyAlignment="1">
      <alignment horizontal="center" vertical="center" wrapText="1" readingOrder="1"/>
      <protection/>
    </xf>
    <xf numFmtId="0" fontId="25" fillId="28" borderId="0" xfId="72" applyFont="1" applyFill="1" applyBorder="1" applyAlignment="1">
      <alignment horizontal="center" vertical="center"/>
      <protection/>
    </xf>
    <xf numFmtId="0" fontId="37" fillId="50" borderId="0" xfId="72" applyFont="1" applyFill="1" applyBorder="1" applyAlignment="1">
      <alignment horizontal="center" vertical="center"/>
      <protection/>
    </xf>
    <xf numFmtId="0" fontId="31" fillId="54" borderId="0" xfId="72" applyFont="1" applyFill="1" applyBorder="1" applyAlignment="1">
      <alignment horizontal="center" vertical="center"/>
      <protection/>
    </xf>
    <xf numFmtId="0" fontId="31" fillId="28" borderId="0" xfId="72" applyFont="1" applyFill="1" applyBorder="1" applyAlignment="1">
      <alignment horizontal="center" vertical="center"/>
      <protection/>
    </xf>
    <xf numFmtId="169" fontId="16" fillId="15" borderId="70" xfId="72" applyNumberFormat="1" applyFont="1" applyFill="1" applyBorder="1" applyAlignment="1">
      <alignment horizontal="center" vertical="center" wrapText="1" readingOrder="1"/>
      <protection/>
    </xf>
    <xf numFmtId="9" fontId="30" fillId="4" borderId="64" xfId="72" applyNumberFormat="1" applyFont="1" applyFill="1" applyBorder="1" applyAlignment="1">
      <alignment horizontal="center" vertical="center" wrapText="1" readingOrder="1"/>
      <protection/>
    </xf>
    <xf numFmtId="0" fontId="25" fillId="0" borderId="0" xfId="72" applyFont="1" applyFill="1" applyBorder="1" applyAlignment="1">
      <alignment horizontal="center" vertical="center"/>
      <protection/>
    </xf>
    <xf numFmtId="169" fontId="24" fillId="13" borderId="71" xfId="72" applyNumberFormat="1" applyFont="1" applyFill="1" applyBorder="1" applyAlignment="1">
      <alignment horizontal="center" vertical="center" wrapText="1" readingOrder="1"/>
      <protection/>
    </xf>
    <xf numFmtId="167" fontId="38" fillId="13" borderId="72" xfId="72" applyNumberFormat="1" applyFont="1" applyFill="1" applyBorder="1" applyAlignment="1">
      <alignment horizontal="center" vertical="center" wrapText="1" readingOrder="1"/>
      <protection/>
    </xf>
    <xf numFmtId="0" fontId="25" fillId="30" borderId="0" xfId="72" applyFont="1" applyFill="1" applyBorder="1" applyAlignment="1">
      <alignment horizontal="center" vertical="center"/>
      <protection/>
    </xf>
    <xf numFmtId="1" fontId="25" fillId="30" borderId="0" xfId="72" applyNumberFormat="1" applyFont="1" applyFill="1" applyBorder="1" applyAlignment="1">
      <alignment horizontal="center" vertical="center"/>
      <protection/>
    </xf>
    <xf numFmtId="0" fontId="31" fillId="13" borderId="0" xfId="72" applyFont="1" applyFill="1" applyBorder="1" applyAlignment="1">
      <alignment horizontal="center" vertical="center"/>
      <protection/>
    </xf>
    <xf numFmtId="0" fontId="31" fillId="30" borderId="0" xfId="72" applyFont="1" applyFill="1" applyBorder="1" applyAlignment="1">
      <alignment horizontal="center" vertical="center"/>
      <protection/>
    </xf>
    <xf numFmtId="169" fontId="16" fillId="30" borderId="71" xfId="72" applyNumberFormat="1" applyFont="1" applyFill="1" applyBorder="1" applyAlignment="1">
      <alignment horizontal="center" vertical="center" wrapText="1" readingOrder="1"/>
      <protection/>
    </xf>
    <xf numFmtId="169" fontId="16" fillId="30" borderId="45" xfId="72" applyNumberFormat="1" applyFont="1" applyFill="1" applyBorder="1" applyAlignment="1">
      <alignment horizontal="center" vertical="center" wrapText="1" readingOrder="1"/>
      <protection/>
    </xf>
    <xf numFmtId="0" fontId="31" fillId="13" borderId="30" xfId="0" applyFont="1" applyFill="1" applyBorder="1" applyAlignment="1">
      <alignment horizontal="left" vertical="center" wrapText="1"/>
    </xf>
    <xf numFmtId="0" fontId="31" fillId="14" borderId="30" xfId="0" applyFont="1" applyFill="1" applyBorder="1" applyAlignment="1">
      <alignment horizontal="center" vertical="top" wrapText="1"/>
    </xf>
    <xf numFmtId="0" fontId="31" fillId="14" borderId="51" xfId="0" applyFont="1" applyFill="1" applyBorder="1" applyAlignment="1">
      <alignment horizontal="center" vertical="top" wrapText="1"/>
    </xf>
    <xf numFmtId="0" fontId="41" fillId="0" borderId="30" xfId="0" applyFont="1" applyBorder="1" applyAlignment="1">
      <alignment horizontal="left" vertical="center" wrapText="1"/>
    </xf>
    <xf numFmtId="0" fontId="41" fillId="0" borderId="30" xfId="0" applyFont="1" applyBorder="1" applyAlignment="1">
      <alignment horizontal="center" vertical="center" wrapText="1"/>
    </xf>
  </cellXfs>
  <cellStyles count="8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Encabezado 4" xfId="64"/>
    <cellStyle name="Énfasis1" xfId="65"/>
    <cellStyle name="Énfasis2" xfId="66"/>
    <cellStyle name="Énfasis3" xfId="67"/>
    <cellStyle name="Énfasis4" xfId="68"/>
    <cellStyle name="Énfasis5" xfId="69"/>
    <cellStyle name="Énfasis6" xfId="70"/>
    <cellStyle name="Entrada" xfId="71"/>
    <cellStyle name="Excel Built-in Normal" xfId="72"/>
    <cellStyle name="Explanatory Text" xfId="73"/>
    <cellStyle name="Good" xfId="74"/>
    <cellStyle name="Heading 1" xfId="75"/>
    <cellStyle name="Heading 2" xfId="76"/>
    <cellStyle name="Heading 3" xfId="77"/>
    <cellStyle name="Heading 4" xfId="78"/>
    <cellStyle name="Incorrecto" xfId="79"/>
    <cellStyle name="Input" xfId="80"/>
    <cellStyle name="Linked Cell" xfId="81"/>
    <cellStyle name="Comma" xfId="82"/>
    <cellStyle name="Comma [0]" xfId="83"/>
    <cellStyle name="Currency" xfId="84"/>
    <cellStyle name="Currency [0]" xfId="85"/>
    <cellStyle name="Neutral" xfId="86"/>
    <cellStyle name="Notas" xfId="87"/>
    <cellStyle name="Note" xfId="88"/>
    <cellStyle name="Output" xfId="89"/>
    <cellStyle name="Percent" xfId="90"/>
    <cellStyle name="Salida" xfId="91"/>
    <cellStyle name="Texto de advertencia" xfId="92"/>
    <cellStyle name="Texto explicativo" xfId="93"/>
    <cellStyle name="Title" xfId="94"/>
    <cellStyle name="Título" xfId="95"/>
    <cellStyle name="Título 1" xfId="96"/>
    <cellStyle name="Título 2" xfId="97"/>
    <cellStyle name="Título 3" xfId="98"/>
    <cellStyle name="Total" xfId="99"/>
    <cellStyle name="Warning Text"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C00000"/>
      <rgbColor rgb="00008000"/>
      <rgbColor rgb="00000080"/>
      <rgbColor rgb="004F6228"/>
      <rgbColor rgb="00800080"/>
      <rgbColor rgb="00008080"/>
      <rgbColor rgb="00C0C0C0"/>
      <rgbColor rgb="00808080"/>
      <rgbColor rgb="008EB4E3"/>
      <rgbColor rgb="00993366"/>
      <rgbColor rgb="00EBF1DE"/>
      <rgbColor rgb="00DCE6F2"/>
      <rgbColor rgb="00660066"/>
      <rgbColor rgb="00FF8080"/>
      <rgbColor rgb="000070C0"/>
      <rgbColor rgb="00C6D9F1"/>
      <rgbColor rgb="00000080"/>
      <rgbColor rgb="00FF00FF"/>
      <rgbColor rgb="00FFFF00"/>
      <rgbColor rgb="0000FFFF"/>
      <rgbColor rgb="00800080"/>
      <rgbColor rgb="00800000"/>
      <rgbColor rgb="00008080"/>
      <rgbColor rgb="000000FF"/>
      <rgbColor rgb="0000CCFF"/>
      <rgbColor rgb="00F2F2F2"/>
      <rgbColor rgb="00D7E4BD"/>
      <rgbColor rgb="00FFFF99"/>
      <rgbColor rgb="0093CDDD"/>
      <rgbColor rgb="00FF99CC"/>
      <rgbColor rgb="00BFBFBF"/>
      <rgbColor rgb="00FFCC99"/>
      <rgbColor rgb="003366FF"/>
      <rgbColor rgb="0033CCCC"/>
      <rgbColor rgb="0092D050"/>
      <rgbColor rgb="00FFC000"/>
      <rgbColor rgb="00FF9900"/>
      <rgbColor rgb="00E46C0A"/>
      <rgbColor rgb="00558ED5"/>
      <rgbColor rgb="00A6A6A6"/>
      <rgbColor rgb="00002060"/>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I9"/>
  <sheetViews>
    <sheetView showGridLines="0" zoomScalePageLayoutView="0" workbookViewId="0" topLeftCell="A1">
      <selection activeCell="F14" sqref="F14"/>
    </sheetView>
  </sheetViews>
  <sheetFormatPr defaultColWidth="11.421875" defaultRowHeight="12.75"/>
  <cols>
    <col min="1" max="1" width="3.7109375" style="1" customWidth="1"/>
    <col min="2" max="2" width="21.8515625" style="1" customWidth="1"/>
    <col min="3" max="3" width="10.57421875" style="1" customWidth="1"/>
    <col min="4" max="4" width="12.28125" style="1" customWidth="1"/>
    <col min="5" max="5" width="13.00390625" style="1" customWidth="1"/>
    <col min="6" max="6" width="12.140625" style="1" customWidth="1"/>
    <col min="7" max="8" width="11.421875" style="1" customWidth="1"/>
    <col min="9" max="9" width="14.421875" style="1" customWidth="1"/>
    <col min="10" max="16384" width="11.421875" style="1" customWidth="1"/>
  </cols>
  <sheetData>
    <row r="2" spans="2:9" ht="15">
      <c r="B2" s="2" t="s">
        <v>0</v>
      </c>
      <c r="C2" s="3"/>
      <c r="D2" s="3"/>
      <c r="E2" s="3"/>
      <c r="F2" s="3"/>
      <c r="G2" s="3"/>
      <c r="H2" s="3"/>
      <c r="I2" s="3"/>
    </row>
    <row r="3" spans="2:9" ht="15">
      <c r="B3" s="3"/>
      <c r="C3" s="3"/>
      <c r="D3" s="3"/>
      <c r="E3" s="3"/>
      <c r="F3" s="3"/>
      <c r="G3" s="3"/>
      <c r="H3" s="3"/>
      <c r="I3" s="3"/>
    </row>
    <row r="4" spans="2:9" ht="45">
      <c r="B4" s="4" t="s">
        <v>1</v>
      </c>
      <c r="C4" s="4" t="s">
        <v>2</v>
      </c>
      <c r="D4" s="4" t="s">
        <v>3</v>
      </c>
      <c r="E4" s="4" t="s">
        <v>4</v>
      </c>
      <c r="F4" s="4" t="s">
        <v>5</v>
      </c>
      <c r="G4" s="4" t="s">
        <v>6</v>
      </c>
      <c r="H4" s="4" t="s">
        <v>7</v>
      </c>
      <c r="I4" s="4" t="s">
        <v>8</v>
      </c>
    </row>
    <row r="5" spans="2:9" ht="15">
      <c r="B5" s="5" t="s">
        <v>9</v>
      </c>
      <c r="C5" s="6">
        <f>8870.4</f>
        <v>8870.4</v>
      </c>
      <c r="D5" s="6">
        <f>C5*(1-7.5%)</f>
        <v>8205.12</v>
      </c>
      <c r="E5" s="6">
        <f>D5</f>
        <v>8205.12</v>
      </c>
      <c r="F5" s="6">
        <f>E5*(1+4%)</f>
        <v>8533.3248</v>
      </c>
      <c r="G5" s="7">
        <v>168</v>
      </c>
      <c r="H5" s="8">
        <f>2*3</f>
        <v>6</v>
      </c>
      <c r="I5" s="6">
        <f>(F5/G5)*H5*7</f>
        <v>2133.3312000000005</v>
      </c>
    </row>
    <row r="6" spans="2:9" ht="15">
      <c r="B6" s="5" t="s">
        <v>10</v>
      </c>
      <c r="C6" s="6">
        <v>3024</v>
      </c>
      <c r="D6" s="6">
        <f>C6*(1-7.5%)</f>
        <v>2797.2000000000003</v>
      </c>
      <c r="E6" s="6">
        <f>D6</f>
        <v>2797.2000000000003</v>
      </c>
      <c r="F6" s="6">
        <f>E6*(1+4%)</f>
        <v>2909.088</v>
      </c>
      <c r="G6" s="7">
        <v>336</v>
      </c>
      <c r="H6" s="8">
        <f>(800/200)*3</f>
        <v>12</v>
      </c>
      <c r="I6" s="6">
        <f>(F6/G6)*H6*7</f>
        <v>727.2720000000002</v>
      </c>
    </row>
    <row r="7" spans="2:9" ht="15">
      <c r="B7" s="5" t="s">
        <v>11</v>
      </c>
      <c r="C7" s="6">
        <v>191</v>
      </c>
      <c r="D7" s="6">
        <f>C7*(1-7.5%)</f>
        <v>176.675</v>
      </c>
      <c r="E7" s="6">
        <f>D7*(1-26%)</f>
        <v>130.73950000000002</v>
      </c>
      <c r="F7" s="6">
        <f>E7*(1+4%)</f>
        <v>135.96908000000002</v>
      </c>
      <c r="G7" s="7">
        <v>1</v>
      </c>
      <c r="H7" s="9">
        <f>1/7</f>
        <v>0.14285714285714285</v>
      </c>
      <c r="I7" s="6">
        <f>(F7/G7)*H7*7</f>
        <v>135.96908000000002</v>
      </c>
    </row>
    <row r="8" spans="2:9" ht="15">
      <c r="B8" s="5" t="s">
        <v>12</v>
      </c>
      <c r="C8" s="6">
        <v>294.31</v>
      </c>
      <c r="D8" s="6">
        <f>C8</f>
        <v>294.31</v>
      </c>
      <c r="E8" s="6">
        <f>C8*(1-83%)</f>
        <v>50.03270000000001</v>
      </c>
      <c r="F8" s="6">
        <f>E8*(1+4%)</f>
        <v>52.034008000000014</v>
      </c>
      <c r="G8" s="7">
        <v>168</v>
      </c>
      <c r="H8" s="8">
        <v>6</v>
      </c>
      <c r="I8" s="6">
        <f>(F8/G8)*H8*7</f>
        <v>13.008502000000005</v>
      </c>
    </row>
    <row r="9" spans="2:9" ht="15">
      <c r="B9" s="5" t="s">
        <v>13</v>
      </c>
      <c r="C9" s="6">
        <f>C7+C8</f>
        <v>485.31</v>
      </c>
      <c r="D9" s="6">
        <f>D7+D8</f>
        <v>470.985</v>
      </c>
      <c r="E9" s="6">
        <f>E7+E8</f>
        <v>180.77220000000003</v>
      </c>
      <c r="F9" s="6">
        <f>F7+F8</f>
        <v>188.00308800000005</v>
      </c>
      <c r="G9" s="6"/>
      <c r="H9" s="6"/>
      <c r="I9" s="6">
        <f>I7+I8</f>
        <v>148.977582</v>
      </c>
    </row>
  </sheetData>
  <sheetProtection selectLockedCells="1" selectUnlockedCells="1"/>
  <printOptions/>
  <pageMargins left="0.7875" right="0.7875" top="1.025" bottom="1.025" header="0.7875" footer="0.7875"/>
  <pageSetup horizontalDpi="300" verticalDpi="300" orientation="landscape" paperSize="9" r:id="rId3"/>
  <headerFooter alignWithMargins="0">
    <oddHeader>&amp;C&amp;A</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dimension ref="B2:N42"/>
  <sheetViews>
    <sheetView showGridLines="0" zoomScalePageLayoutView="0" workbookViewId="0" topLeftCell="A13">
      <selection activeCell="C45" sqref="C45"/>
    </sheetView>
  </sheetViews>
  <sheetFormatPr defaultColWidth="9.140625" defaultRowHeight="12.75"/>
  <cols>
    <col min="1" max="1" width="3.7109375" style="10" customWidth="1"/>
    <col min="2" max="2" width="47.28125" style="10" customWidth="1"/>
    <col min="3" max="4" width="8.7109375" style="10" customWidth="1"/>
    <col min="5" max="5" width="14.7109375" style="10" customWidth="1"/>
    <col min="6" max="6" width="9.140625" style="10" customWidth="1"/>
    <col min="7" max="7" width="8.421875" style="10" customWidth="1"/>
    <col min="8" max="8" width="19.57421875" style="10" customWidth="1"/>
    <col min="9" max="9" width="11.00390625" style="10" customWidth="1"/>
    <col min="10" max="10" width="9.140625" style="10" customWidth="1"/>
    <col min="11" max="11" width="19.00390625" style="10" customWidth="1"/>
    <col min="12" max="12" width="9.140625" style="10" customWidth="1"/>
    <col min="13" max="13" width="10.00390625" style="10" customWidth="1"/>
    <col min="14" max="14" width="19.57421875" style="10" customWidth="1"/>
    <col min="15" max="16384" width="9.140625" style="10" customWidth="1"/>
  </cols>
  <sheetData>
    <row r="2" spans="2:5" ht="15">
      <c r="B2" s="11" t="s">
        <v>14</v>
      </c>
      <c r="C2" s="12"/>
      <c r="D2" s="12"/>
      <c r="E2" s="12"/>
    </row>
    <row r="3" spans="2:5" ht="30">
      <c r="B3" s="13" t="s">
        <v>15</v>
      </c>
      <c r="C3" s="14" t="s">
        <v>16</v>
      </c>
      <c r="D3" s="15" t="s">
        <v>17</v>
      </c>
      <c r="E3" s="177" t="s">
        <v>143</v>
      </c>
    </row>
    <row r="4" spans="2:5" ht="13.5" customHeight="1">
      <c r="B4" s="17" t="s">
        <v>19</v>
      </c>
      <c r="C4" s="178" t="s">
        <v>20</v>
      </c>
      <c r="D4" s="18">
        <v>0.0214</v>
      </c>
      <c r="E4" s="19">
        <f>D4</f>
        <v>0.0214</v>
      </c>
    </row>
    <row r="5" spans="2:5" ht="15">
      <c r="B5" s="17" t="s">
        <v>21</v>
      </c>
      <c r="C5" s="178"/>
      <c r="D5" s="20">
        <f>(38/363)-D4</f>
        <v>0.0832831955922865</v>
      </c>
      <c r="E5" s="21">
        <f>D5</f>
        <v>0.0832831955922865</v>
      </c>
    </row>
    <row r="6" spans="2:5" ht="15">
      <c r="B6" s="17" t="s">
        <v>22</v>
      </c>
      <c r="C6" s="22"/>
      <c r="D6" s="23"/>
      <c r="E6" s="21">
        <f>100%-E4-E5</f>
        <v>0.8953168044077136</v>
      </c>
    </row>
    <row r="7" spans="2:5" ht="15">
      <c r="B7" s="24" t="s">
        <v>23</v>
      </c>
      <c r="C7" s="25" t="s">
        <v>24</v>
      </c>
      <c r="D7" s="20">
        <f>212/363</f>
        <v>0.5840220385674931</v>
      </c>
      <c r="E7" s="19">
        <f>D7*E6</f>
        <v>0.5228847452739264</v>
      </c>
    </row>
    <row r="8" spans="2:5" ht="15">
      <c r="B8" s="24" t="s">
        <v>25</v>
      </c>
      <c r="C8" s="25" t="s">
        <v>26</v>
      </c>
      <c r="D8" s="20">
        <f>151/363</f>
        <v>0.41597796143250687</v>
      </c>
      <c r="E8" s="26">
        <f>D8*E6</f>
        <v>0.3724320591337872</v>
      </c>
    </row>
    <row r="9" spans="2:6" ht="15">
      <c r="B9" s="27"/>
      <c r="C9" s="28"/>
      <c r="D9" s="29"/>
      <c r="E9" s="30"/>
      <c r="F9" s="31"/>
    </row>
    <row r="10" spans="2:5" ht="15">
      <c r="B10" s="31"/>
      <c r="C10" s="31"/>
      <c r="D10" s="31"/>
      <c r="E10" s="31"/>
    </row>
    <row r="11" spans="2:14" ht="15">
      <c r="B11" s="32" t="s">
        <v>27</v>
      </c>
      <c r="C11" s="179" t="s">
        <v>28</v>
      </c>
      <c r="D11" s="179"/>
      <c r="E11" s="179"/>
      <c r="F11" s="179" t="s">
        <v>29</v>
      </c>
      <c r="G11" s="179"/>
      <c r="H11" s="179"/>
      <c r="I11" s="179" t="s">
        <v>30</v>
      </c>
      <c r="J11" s="179"/>
      <c r="K11" s="179"/>
      <c r="L11" s="179" t="s">
        <v>31</v>
      </c>
      <c r="M11" s="179"/>
      <c r="N11" s="179"/>
    </row>
    <row r="12" spans="2:14" ht="30">
      <c r="B12" s="13" t="s">
        <v>32</v>
      </c>
      <c r="C12" s="33" t="s">
        <v>16</v>
      </c>
      <c r="D12" s="15" t="s">
        <v>17</v>
      </c>
      <c r="E12" s="177" t="s">
        <v>143</v>
      </c>
      <c r="F12" s="33" t="s">
        <v>16</v>
      </c>
      <c r="G12" s="15" t="s">
        <v>17</v>
      </c>
      <c r="H12" s="16" t="s">
        <v>18</v>
      </c>
      <c r="I12" s="33" t="s">
        <v>16</v>
      </c>
      <c r="J12" s="15" t="s">
        <v>17</v>
      </c>
      <c r="K12" s="16" t="s">
        <v>18</v>
      </c>
      <c r="L12" s="33" t="s">
        <v>16</v>
      </c>
      <c r="M12" s="15" t="s">
        <v>17</v>
      </c>
      <c r="N12" s="16" t="s">
        <v>18</v>
      </c>
    </row>
    <row r="13" spans="2:14" ht="15">
      <c r="B13" s="17" t="s">
        <v>19</v>
      </c>
      <c r="C13" s="180" t="s">
        <v>33</v>
      </c>
      <c r="D13" s="18">
        <v>0.0214</v>
      </c>
      <c r="E13" s="21">
        <f>D13</f>
        <v>0.0214</v>
      </c>
      <c r="F13" s="180" t="s">
        <v>34</v>
      </c>
      <c r="G13" s="34">
        <v>0</v>
      </c>
      <c r="H13" s="21">
        <f>G13</f>
        <v>0</v>
      </c>
      <c r="I13" s="181" t="s">
        <v>35</v>
      </c>
      <c r="J13" s="18">
        <v>0.0214</v>
      </c>
      <c r="K13" s="21">
        <f>J13</f>
        <v>0.0214</v>
      </c>
      <c r="L13" s="181" t="s">
        <v>36</v>
      </c>
      <c r="M13" s="18">
        <v>0.0214</v>
      </c>
      <c r="N13" s="21">
        <f>M13</f>
        <v>0.0214</v>
      </c>
    </row>
    <row r="14" spans="2:14" ht="15">
      <c r="B14" s="17" t="s">
        <v>21</v>
      </c>
      <c r="C14" s="180"/>
      <c r="D14" s="34">
        <f>(52/266)-D13</f>
        <v>0.17408872180451126</v>
      </c>
      <c r="E14" s="21">
        <f>D14</f>
        <v>0.17408872180451126</v>
      </c>
      <c r="F14" s="180"/>
      <c r="G14" s="34">
        <f>(2/145)-G13</f>
        <v>0.013793103448275862</v>
      </c>
      <c r="H14" s="21">
        <f>G14</f>
        <v>0.013793103448275862</v>
      </c>
      <c r="I14" s="181"/>
      <c r="J14" s="34">
        <f>(9/49)-J13</f>
        <v>0.1622734693877551</v>
      </c>
      <c r="K14" s="21">
        <f>J14</f>
        <v>0.1622734693877551</v>
      </c>
      <c r="L14" s="181"/>
      <c r="M14" s="34">
        <f>(41/72)-M13</f>
        <v>0.5480444444444444</v>
      </c>
      <c r="N14" s="21">
        <f>M14</f>
        <v>0.5480444444444444</v>
      </c>
    </row>
    <row r="15" spans="2:14" ht="15">
      <c r="B15" s="17" t="s">
        <v>22</v>
      </c>
      <c r="C15" s="35"/>
      <c r="D15" s="36"/>
      <c r="E15" s="21">
        <f>100%-E13-E14</f>
        <v>0.8045112781954887</v>
      </c>
      <c r="F15" s="35"/>
      <c r="G15" s="36"/>
      <c r="H15" s="21">
        <f>100%-H13-H14</f>
        <v>0.9862068965517241</v>
      </c>
      <c r="I15" s="35"/>
      <c r="J15" s="36"/>
      <c r="K15" s="21">
        <f>100%-K13-K14</f>
        <v>0.8163265306122449</v>
      </c>
      <c r="L15" s="35"/>
      <c r="M15" s="36"/>
      <c r="N15" s="21">
        <f>100%-N13-N14</f>
        <v>0.4305555555555556</v>
      </c>
    </row>
    <row r="16" spans="2:14" ht="15">
      <c r="B16" s="24" t="s">
        <v>23</v>
      </c>
      <c r="C16" s="35" t="s">
        <v>37</v>
      </c>
      <c r="D16" s="34">
        <f>78/266</f>
        <v>0.2932330827067669</v>
      </c>
      <c r="E16" s="19">
        <f>D16*E15</f>
        <v>0.2359093221776245</v>
      </c>
      <c r="F16" s="35" t="s">
        <v>38</v>
      </c>
      <c r="G16" s="34">
        <v>0.538</v>
      </c>
      <c r="H16" s="19">
        <f>G16*H15</f>
        <v>0.5305793103448276</v>
      </c>
      <c r="I16" s="35" t="s">
        <v>39</v>
      </c>
      <c r="J16" s="34">
        <v>0</v>
      </c>
      <c r="K16" s="19">
        <v>0</v>
      </c>
      <c r="L16" s="35" t="s">
        <v>40</v>
      </c>
      <c r="M16" s="34">
        <v>0</v>
      </c>
      <c r="N16" s="19">
        <v>0</v>
      </c>
    </row>
    <row r="17" spans="2:14" ht="15">
      <c r="B17" s="24" t="s">
        <v>25</v>
      </c>
      <c r="C17" s="35" t="s">
        <v>41</v>
      </c>
      <c r="D17" s="34">
        <f>188/266</f>
        <v>0.706766917293233</v>
      </c>
      <c r="E17" s="26">
        <f>D17*E15</f>
        <v>0.5686019560178642</v>
      </c>
      <c r="F17" s="35" t="s">
        <v>42</v>
      </c>
      <c r="G17" s="34">
        <f>100%-G16</f>
        <v>0.46199999999999997</v>
      </c>
      <c r="H17" s="26">
        <f>G17*H15</f>
        <v>0.45562758620689653</v>
      </c>
      <c r="I17" s="35" t="s">
        <v>43</v>
      </c>
      <c r="J17" s="34">
        <f>49/49</f>
        <v>1</v>
      </c>
      <c r="K17" s="26">
        <f>J17*K15</f>
        <v>0.8163265306122449</v>
      </c>
      <c r="L17" s="35" t="s">
        <v>44</v>
      </c>
      <c r="M17" s="34">
        <f>49/49</f>
        <v>1</v>
      </c>
      <c r="N17" s="26">
        <f>M17*N15</f>
        <v>0.4305555555555556</v>
      </c>
    </row>
    <row r="18" ht="15"/>
    <row r="19" spans="2:5" ht="15">
      <c r="B19" s="37" t="s">
        <v>45</v>
      </c>
      <c r="C19" s="38"/>
      <c r="D19" s="38"/>
      <c r="E19" s="38"/>
    </row>
    <row r="20" spans="2:8" ht="30">
      <c r="B20" s="13" t="s">
        <v>46</v>
      </c>
      <c r="C20" s="14" t="s">
        <v>16</v>
      </c>
      <c r="D20" s="15" t="s">
        <v>17</v>
      </c>
      <c r="E20" s="177" t="s">
        <v>143</v>
      </c>
      <c r="H20" s="39"/>
    </row>
    <row r="21" spans="2:10" ht="15">
      <c r="B21" s="17" t="s">
        <v>47</v>
      </c>
      <c r="C21" s="25" t="s">
        <v>48</v>
      </c>
      <c r="D21" s="40">
        <f>18/368</f>
        <v>0.04891304347826087</v>
      </c>
      <c r="E21" s="41">
        <f>D21</f>
        <v>0.04891304347826087</v>
      </c>
      <c r="J21" s="42"/>
    </row>
    <row r="22" spans="2:5" ht="15">
      <c r="B22" s="17" t="s">
        <v>49</v>
      </c>
      <c r="C22" s="25" t="s">
        <v>50</v>
      </c>
      <c r="D22" s="40">
        <f>19/368</f>
        <v>0.051630434782608696</v>
      </c>
      <c r="E22" s="41">
        <f>D22</f>
        <v>0.051630434782608696</v>
      </c>
    </row>
    <row r="23" spans="2:5" ht="15">
      <c r="B23" s="17" t="s">
        <v>51</v>
      </c>
      <c r="C23" s="25" t="s">
        <v>52</v>
      </c>
      <c r="D23" s="40">
        <f>33/368</f>
        <v>0.08967391304347826</v>
      </c>
      <c r="E23" s="41">
        <f>33/368</f>
        <v>0.08967391304347826</v>
      </c>
    </row>
    <row r="24" spans="2:6" ht="15">
      <c r="B24" s="17" t="s">
        <v>22</v>
      </c>
      <c r="C24" s="22"/>
      <c r="D24" s="43"/>
      <c r="E24" s="41">
        <f>100%-E21-E22-E23</f>
        <v>0.8097826086956522</v>
      </c>
      <c r="F24" s="44"/>
    </row>
    <row r="25" spans="2:5" ht="15">
      <c r="B25" s="24" t="s">
        <v>53</v>
      </c>
      <c r="C25" s="25" t="s">
        <v>54</v>
      </c>
      <c r="D25" s="40">
        <f>162/368</f>
        <v>0.44021739130434784</v>
      </c>
      <c r="E25" s="45">
        <f>D25*E24</f>
        <v>0.35648038752362954</v>
      </c>
    </row>
    <row r="26" spans="2:5" ht="15">
      <c r="B26" s="24" t="s">
        <v>55</v>
      </c>
      <c r="C26" s="25" t="s">
        <v>56</v>
      </c>
      <c r="D26" s="40">
        <f>190/368</f>
        <v>0.5163043478260869</v>
      </c>
      <c r="E26" s="45">
        <f>D26*E24</f>
        <v>0.41809428166351603</v>
      </c>
    </row>
    <row r="27" spans="2:5" ht="15">
      <c r="B27" s="24" t="s">
        <v>57</v>
      </c>
      <c r="C27" s="25" t="s">
        <v>58</v>
      </c>
      <c r="D27" s="40">
        <f>16/368</f>
        <v>0.043478260869565216</v>
      </c>
      <c r="E27" s="46">
        <f>D27*E24</f>
        <v>0.03520793950850662</v>
      </c>
    </row>
    <row r="28" ht="15"/>
    <row r="29" spans="2:11" ht="15">
      <c r="B29" s="37" t="s">
        <v>59</v>
      </c>
      <c r="C29" s="38"/>
      <c r="D29" s="38"/>
      <c r="E29" s="47"/>
      <c r="F29"/>
      <c r="G29"/>
      <c r="H29"/>
      <c r="I29"/>
      <c r="J29"/>
      <c r="K29"/>
    </row>
    <row r="30" spans="2:11" ht="30">
      <c r="B30" s="13" t="s">
        <v>60</v>
      </c>
      <c r="C30" s="14" t="s">
        <v>16</v>
      </c>
      <c r="D30" s="48" t="s">
        <v>17</v>
      </c>
      <c r="E30" s="177" t="s">
        <v>143</v>
      </c>
      <c r="F30"/>
      <c r="G30"/>
      <c r="H30"/>
      <c r="I30"/>
      <c r="J30"/>
      <c r="K30"/>
    </row>
    <row r="31" spans="2:5" ht="15">
      <c r="B31" s="17" t="s">
        <v>61</v>
      </c>
      <c r="C31" s="25" t="s">
        <v>62</v>
      </c>
      <c r="D31" s="40">
        <f>7/323</f>
        <v>0.021671826625386997</v>
      </c>
      <c r="E31" s="41">
        <f>D31</f>
        <v>0.021671826625386997</v>
      </c>
    </row>
    <row r="32" spans="2:11" ht="15">
      <c r="B32" s="17" t="s">
        <v>63</v>
      </c>
      <c r="C32" s="25" t="s">
        <v>64</v>
      </c>
      <c r="D32" s="34">
        <f>65/323</f>
        <v>0.20123839009287925</v>
      </c>
      <c r="E32" s="41">
        <f>65/323</f>
        <v>0.20123839009287925</v>
      </c>
      <c r="F32"/>
      <c r="G32"/>
      <c r="H32"/>
      <c r="I32"/>
      <c r="J32"/>
      <c r="K32"/>
    </row>
    <row r="33" spans="2:11" ht="15">
      <c r="B33" s="17" t="s">
        <v>22</v>
      </c>
      <c r="C33" s="22"/>
      <c r="D33" s="36"/>
      <c r="E33" s="41">
        <f>100%-E31-E32</f>
        <v>0.7770897832817337</v>
      </c>
      <c r="F33" s="49"/>
      <c r="G33"/>
      <c r="H33"/>
      <c r="I33"/>
      <c r="J33"/>
      <c r="K33"/>
    </row>
    <row r="34" spans="2:11" ht="15">
      <c r="B34" s="24" t="s">
        <v>55</v>
      </c>
      <c r="C34" s="25" t="s">
        <v>65</v>
      </c>
      <c r="D34" s="50">
        <f>284/323</f>
        <v>0.8792569659442725</v>
      </c>
      <c r="E34" s="45">
        <f>D34*E33</f>
        <v>0.6832616051145894</v>
      </c>
      <c r="F34"/>
      <c r="G34"/>
      <c r="H34"/>
      <c r="I34"/>
      <c r="J34"/>
      <c r="K34"/>
    </row>
    <row r="35" spans="2:11" ht="15">
      <c r="B35" s="24" t="s">
        <v>57</v>
      </c>
      <c r="C35" s="25" t="s">
        <v>66</v>
      </c>
      <c r="D35" s="34">
        <f>39/323</f>
        <v>0.12074303405572756</v>
      </c>
      <c r="E35" s="46">
        <f>D35*E33</f>
        <v>0.09382817816714432</v>
      </c>
      <c r="F35"/>
      <c r="G35"/>
      <c r="H35"/>
      <c r="I35"/>
      <c r="J35"/>
      <c r="K35"/>
    </row>
    <row r="36" ht="15"/>
    <row r="37" spans="2:5" ht="15">
      <c r="B37" s="37" t="s">
        <v>67</v>
      </c>
      <c r="C37" s="38"/>
      <c r="D37" s="51"/>
      <c r="E37" s="47"/>
    </row>
    <row r="38" spans="2:5" ht="30">
      <c r="B38" s="13" t="s">
        <v>10</v>
      </c>
      <c r="C38" s="14" t="s">
        <v>16</v>
      </c>
      <c r="D38" s="48" t="s">
        <v>17</v>
      </c>
      <c r="E38" s="177" t="s">
        <v>143</v>
      </c>
    </row>
    <row r="39" spans="2:5" ht="15">
      <c r="B39" s="17" t="s">
        <v>61</v>
      </c>
      <c r="C39" s="52" t="s">
        <v>68</v>
      </c>
      <c r="D39" s="40">
        <f>3/48</f>
        <v>0.0625</v>
      </c>
      <c r="E39" s="41">
        <f>D39</f>
        <v>0.0625</v>
      </c>
    </row>
    <row r="40" spans="2:5" ht="15">
      <c r="B40" s="17" t="s">
        <v>63</v>
      </c>
      <c r="C40" s="25" t="s">
        <v>69</v>
      </c>
      <c r="D40" s="53">
        <f>20/45</f>
        <v>0.4444444444444444</v>
      </c>
      <c r="E40" s="41">
        <f>D40</f>
        <v>0.4444444444444444</v>
      </c>
    </row>
    <row r="41" spans="2:5" ht="15">
      <c r="B41" s="17" t="s">
        <v>22</v>
      </c>
      <c r="C41" s="22"/>
      <c r="D41" s="36"/>
      <c r="E41" s="41">
        <f>100%-E40</f>
        <v>0.5555555555555556</v>
      </c>
    </row>
    <row r="42" spans="2:5" ht="15">
      <c r="B42" s="24" t="s">
        <v>57</v>
      </c>
      <c r="C42" s="25" t="s">
        <v>70</v>
      </c>
      <c r="D42" s="34">
        <f>45/45</f>
        <v>1</v>
      </c>
      <c r="E42" s="46">
        <f>D42*E41</f>
        <v>0.5555555555555556</v>
      </c>
    </row>
  </sheetData>
  <sheetProtection selectLockedCells="1" selectUnlockedCells="1"/>
  <mergeCells count="9">
    <mergeCell ref="C4:C5"/>
    <mergeCell ref="C11:E11"/>
    <mergeCell ref="F11:H11"/>
    <mergeCell ref="I11:K11"/>
    <mergeCell ref="L11:N11"/>
    <mergeCell ref="C13:C14"/>
    <mergeCell ref="F13:F14"/>
    <mergeCell ref="I13:I14"/>
    <mergeCell ref="L13:L14"/>
  </mergeCells>
  <printOptions/>
  <pageMargins left="0.7479166666666667" right="0.7479166666666667" top="0.9840277777777777" bottom="0.9840277777777777" header="0.5118055555555555" footer="0.5118055555555555"/>
  <pageSetup horizontalDpi="300" verticalDpi="300" orientation="landscape" paperSize="9" r:id="rId3"/>
  <colBreaks count="1" manualBreakCount="1">
    <brk id="5" max="65535" man="1"/>
  </colBreaks>
  <ignoredErrors>
    <ignoredError sqref="C39" twoDigitTextYear="1"/>
  </ignoredError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K61"/>
  <sheetViews>
    <sheetView showGridLines="0" zoomScale="75" zoomScaleNormal="75" zoomScalePageLayoutView="0" workbookViewId="0" topLeftCell="E1">
      <selection activeCell="S46" sqref="S46:T46"/>
    </sheetView>
  </sheetViews>
  <sheetFormatPr defaultColWidth="9.140625" defaultRowHeight="12.75"/>
  <cols>
    <col min="1" max="1" width="3.7109375" style="0" customWidth="1"/>
    <col min="2" max="2" width="14.8515625" style="0" customWidth="1"/>
    <col min="3" max="3" width="11.00390625" style="0" customWidth="1"/>
    <col min="4" max="4" width="3.140625" style="0" customWidth="1"/>
    <col min="5" max="5" width="2.8515625" style="0" customWidth="1"/>
    <col min="6" max="6" width="2.7109375" style="0" customWidth="1"/>
    <col min="7" max="7" width="2.00390625" style="0" customWidth="1"/>
    <col min="8" max="8" width="2.57421875" style="0" customWidth="1"/>
    <col min="9" max="9" width="1.57421875" style="0" customWidth="1"/>
    <col min="10" max="10" width="2.8515625" style="0" customWidth="1"/>
    <col min="11" max="12" width="1.421875" style="0" customWidth="1"/>
    <col min="13" max="13" width="1.8515625" style="0" customWidth="1"/>
    <col min="14" max="14" width="2.8515625" style="0" customWidth="1"/>
    <col min="15" max="15" width="2.28125" style="0" customWidth="1"/>
    <col min="16" max="17" width="9.7109375" style="0" customWidth="1"/>
    <col min="18" max="18" width="2.28125" style="0" customWidth="1"/>
    <col min="19" max="20" width="11.57421875" style="0" customWidth="1"/>
    <col min="21" max="21" width="2.28125" style="0" customWidth="1"/>
    <col min="22" max="27" width="11.421875" style="0" customWidth="1"/>
    <col min="28" max="28" width="11.421875" style="54" customWidth="1"/>
  </cols>
  <sheetData>
    <row r="1" ht="12.75">
      <c r="AB1"/>
    </row>
    <row r="2" spans="2:63" s="55" customFormat="1" ht="25.5" customHeight="1">
      <c r="B2" s="56" t="s">
        <v>9</v>
      </c>
      <c r="C2" s="57"/>
      <c r="D2" s="182" t="s">
        <v>71</v>
      </c>
      <c r="E2" s="182"/>
      <c r="F2" s="182"/>
      <c r="G2" s="182"/>
      <c r="H2" s="182"/>
      <c r="I2" s="182"/>
      <c r="J2" s="182"/>
      <c r="K2" s="182"/>
      <c r="L2" s="182"/>
      <c r="M2" s="182"/>
      <c r="N2" s="182"/>
      <c r="O2" s="58"/>
      <c r="P2" s="183" t="s">
        <v>72</v>
      </c>
      <c r="Q2" s="183"/>
      <c r="R2" s="59"/>
      <c r="S2" s="184" t="s">
        <v>73</v>
      </c>
      <c r="T2" s="184"/>
      <c r="U2" s="59"/>
      <c r="V2" s="185" t="s">
        <v>29</v>
      </c>
      <c r="W2" s="185"/>
      <c r="X2" s="185" t="s">
        <v>74</v>
      </c>
      <c r="Y2" s="185"/>
      <c r="Z2" s="185" t="s">
        <v>75</v>
      </c>
      <c r="AA2" s="185"/>
      <c r="AB2" s="60"/>
      <c r="AC2" s="61"/>
      <c r="AD2" s="61"/>
      <c r="AE2" s="61"/>
      <c r="AF2" s="61"/>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row>
    <row r="3" spans="2:63" s="63" customFormat="1" ht="12.75" customHeight="1">
      <c r="B3" s="64" t="s">
        <v>76</v>
      </c>
      <c r="C3" s="65"/>
      <c r="D3" s="66"/>
      <c r="E3" s="66"/>
      <c r="F3" s="66"/>
      <c r="G3" s="66"/>
      <c r="H3" s="66"/>
      <c r="I3" s="66"/>
      <c r="J3" s="66"/>
      <c r="K3" s="66"/>
      <c r="L3" s="66"/>
      <c r="M3" s="66"/>
      <c r="N3" s="66"/>
      <c r="O3" s="65"/>
      <c r="P3" s="186">
        <v>0.2</v>
      </c>
      <c r="Q3" s="186"/>
      <c r="R3" s="67"/>
      <c r="S3" s="187">
        <v>0.8</v>
      </c>
      <c r="T3" s="187"/>
      <c r="U3" s="65"/>
      <c r="V3" s="188">
        <f>145/266</f>
        <v>0.5451127819548872</v>
      </c>
      <c r="W3" s="188"/>
      <c r="X3" s="188">
        <f>49/266</f>
        <v>0.18421052631578946</v>
      </c>
      <c r="Y3" s="188"/>
      <c r="Z3" s="188">
        <f>72/266</f>
        <v>0.2706766917293233</v>
      </c>
      <c r="AA3" s="188"/>
      <c r="AB3" s="68"/>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row>
    <row r="4" spans="2:28" ht="12.75" customHeight="1">
      <c r="B4" s="189" t="s">
        <v>77</v>
      </c>
      <c r="C4" s="70"/>
      <c r="D4" s="71"/>
      <c r="E4" s="71"/>
      <c r="F4" s="71"/>
      <c r="G4" s="71"/>
      <c r="H4" s="71"/>
      <c r="I4" s="71"/>
      <c r="J4" s="71"/>
      <c r="K4" s="71"/>
      <c r="L4" s="71"/>
      <c r="M4" s="71"/>
      <c r="N4" s="71"/>
      <c r="O4" s="72"/>
      <c r="P4" s="190">
        <f>48*Costes!I9</f>
        <v>7150.923936000001</v>
      </c>
      <c r="Q4" s="190"/>
      <c r="R4" s="73"/>
      <c r="S4" s="190">
        <f>48*Costes!I9</f>
        <v>7150.923936000001</v>
      </c>
      <c r="T4" s="190"/>
      <c r="U4" s="73"/>
      <c r="V4" s="190">
        <f>48*Costes!I9</f>
        <v>7150.923936000001</v>
      </c>
      <c r="W4" s="190"/>
      <c r="X4" s="190">
        <f>48*Costes!I9</f>
        <v>7150.923936000001</v>
      </c>
      <c r="Y4" s="190"/>
      <c r="Z4" s="191">
        <f>48*Costes!I9</f>
        <v>7150.923936000001</v>
      </c>
      <c r="AA4" s="191"/>
      <c r="AB4" s="74"/>
    </row>
    <row r="5" spans="2:28" ht="12.75" customHeight="1">
      <c r="B5" s="189"/>
      <c r="C5" s="70"/>
      <c r="D5" s="192">
        <v>48</v>
      </c>
      <c r="E5" s="192"/>
      <c r="F5" s="192"/>
      <c r="G5" s="192"/>
      <c r="H5" s="192"/>
      <c r="I5" s="192"/>
      <c r="J5" s="192"/>
      <c r="K5" s="192"/>
      <c r="L5" s="192"/>
      <c r="M5" s="192"/>
      <c r="N5" s="192"/>
      <c r="O5" s="72"/>
      <c r="P5" s="75" t="s">
        <v>78</v>
      </c>
      <c r="Q5" s="76">
        <f>P6/Q6</f>
        <v>0.4376731301939058</v>
      </c>
      <c r="R5" s="77"/>
      <c r="S5" s="78" t="s">
        <v>79</v>
      </c>
      <c r="T5" s="76">
        <v>0.176</v>
      </c>
      <c r="U5" s="77"/>
      <c r="V5" s="75" t="s">
        <v>78</v>
      </c>
      <c r="W5" s="76">
        <f>V6/W6</f>
        <v>0.23529411764705882</v>
      </c>
      <c r="X5" s="75" t="s">
        <v>78</v>
      </c>
      <c r="Y5" s="76">
        <f>X6/Y6</f>
        <v>0.14814814814814814</v>
      </c>
      <c r="Z5" s="75" t="s">
        <v>78</v>
      </c>
      <c r="AA5" s="76">
        <f>Z6/AA6</f>
        <v>0.05405405405405406</v>
      </c>
      <c r="AB5" s="79"/>
    </row>
    <row r="6" spans="2:28" ht="12.75" customHeight="1">
      <c r="B6" s="80" t="s">
        <v>80</v>
      </c>
      <c r="C6" s="72"/>
      <c r="D6" s="71"/>
      <c r="E6" s="71"/>
      <c r="F6" s="71"/>
      <c r="G6" s="71"/>
      <c r="H6" s="71"/>
      <c r="I6" s="71"/>
      <c r="J6" s="71"/>
      <c r="K6" s="71"/>
      <c r="L6" s="71"/>
      <c r="M6" s="71"/>
      <c r="N6" s="71"/>
      <c r="O6" s="72"/>
      <c r="P6" s="81">
        <v>158</v>
      </c>
      <c r="Q6" s="81">
        <v>361</v>
      </c>
      <c r="R6" s="81"/>
      <c r="S6" s="81">
        <f>V6+X6+Z6</f>
        <v>22</v>
      </c>
      <c r="T6" s="81">
        <f>W6+Y6+AA6</f>
        <v>132</v>
      </c>
      <c r="U6" s="81"/>
      <c r="V6" s="81">
        <v>16</v>
      </c>
      <c r="W6" s="81">
        <v>68</v>
      </c>
      <c r="X6" s="81">
        <v>4</v>
      </c>
      <c r="Y6" s="81">
        <v>27</v>
      </c>
      <c r="Z6" s="81">
        <v>2</v>
      </c>
      <c r="AA6" s="81">
        <v>37</v>
      </c>
      <c r="AB6" s="82"/>
    </row>
    <row r="7" spans="2:28" s="83" customFormat="1" ht="12.75" customHeight="1">
      <c r="B7" s="84" t="s">
        <v>81</v>
      </c>
      <c r="C7" s="84"/>
      <c r="D7" s="85"/>
      <c r="E7" s="85"/>
      <c r="F7" s="85"/>
      <c r="G7" s="85"/>
      <c r="H7" s="85"/>
      <c r="I7" s="85"/>
      <c r="J7" s="85"/>
      <c r="K7" s="85"/>
      <c r="L7" s="85"/>
      <c r="M7" s="85"/>
      <c r="N7" s="85"/>
      <c r="O7" s="86"/>
      <c r="P7" s="193">
        <f>P4/Q5</f>
        <v>16338.503423392409</v>
      </c>
      <c r="Q7" s="193"/>
      <c r="R7" s="87"/>
      <c r="S7" s="193">
        <f>S4/T5</f>
        <v>40630.249636363646</v>
      </c>
      <c r="T7" s="193"/>
      <c r="U7" s="87"/>
      <c r="V7" s="193">
        <f>V4/W5</f>
        <v>30391.426728000006</v>
      </c>
      <c r="W7" s="193"/>
      <c r="X7" s="193">
        <f>X4/Y5</f>
        <v>48268.73656800001</v>
      </c>
      <c r="Y7" s="193"/>
      <c r="Z7" s="193">
        <f>Z4/AA5</f>
        <v>132292.09281600002</v>
      </c>
      <c r="AA7" s="193"/>
      <c r="AB7" s="87"/>
    </row>
    <row r="8" ht="4.5" customHeight="1">
      <c r="AB8"/>
    </row>
    <row r="9" spans="2:28" ht="12.75" customHeight="1">
      <c r="B9" s="194" t="s">
        <v>82</v>
      </c>
      <c r="C9" s="70"/>
      <c r="D9" s="88">
        <v>4</v>
      </c>
      <c r="E9" s="71"/>
      <c r="F9" s="71"/>
      <c r="G9" s="71"/>
      <c r="H9" s="71"/>
      <c r="I9" s="71"/>
      <c r="J9" s="71"/>
      <c r="K9" s="71"/>
      <c r="L9" s="71"/>
      <c r="M9" s="71"/>
      <c r="N9" s="71"/>
      <c r="O9" s="89"/>
      <c r="P9" s="195">
        <f>4*Costes!I5+4*Costes!I9</f>
        <v>9129.235128000002</v>
      </c>
      <c r="Q9" s="195"/>
      <c r="R9" s="90"/>
      <c r="S9" s="195">
        <f>4*Costes!I5+4*Costes!I9</f>
        <v>9129.235128000002</v>
      </c>
      <c r="T9" s="195"/>
      <c r="U9" s="90"/>
      <c r="V9" s="195">
        <f>4*Costes!I5+4*Costes!I9</f>
        <v>9129.235128000002</v>
      </c>
      <c r="W9" s="195"/>
      <c r="X9" s="195">
        <f>4*Costes!I5+4*Costes!I9</f>
        <v>9129.235128000002</v>
      </c>
      <c r="Y9" s="195"/>
      <c r="Z9" s="195">
        <f>4*Costes!I5+4*Costes!I9</f>
        <v>9129.235128000002</v>
      </c>
      <c r="AA9" s="195"/>
      <c r="AB9" s="91"/>
    </row>
    <row r="10" spans="2:28" ht="12.75" customHeight="1">
      <c r="B10" s="194"/>
      <c r="C10" s="70"/>
      <c r="D10" s="92">
        <v>4</v>
      </c>
      <c r="E10" s="93"/>
      <c r="F10" s="71"/>
      <c r="G10" s="85"/>
      <c r="H10" s="85"/>
      <c r="I10" s="85"/>
      <c r="J10" s="85"/>
      <c r="K10" s="71"/>
      <c r="L10" s="71"/>
      <c r="M10" s="71"/>
      <c r="N10" s="94"/>
      <c r="O10" s="89"/>
      <c r="P10" s="196">
        <f>'Tto recibido'!E13</f>
        <v>0.0214</v>
      </c>
      <c r="Q10" s="196"/>
      <c r="R10" s="90"/>
      <c r="S10" s="196">
        <f>'Tto recibido'!E13</f>
        <v>0.0214</v>
      </c>
      <c r="T10" s="196"/>
      <c r="U10" s="90"/>
      <c r="V10" s="196">
        <f>'Tto recibido'!H13</f>
        <v>0</v>
      </c>
      <c r="W10" s="196"/>
      <c r="X10" s="196">
        <f>'Tto recibido'!K13</f>
        <v>0.0214</v>
      </c>
      <c r="Y10" s="196"/>
      <c r="Z10" s="196">
        <f>'Tto recibido'!N13</f>
        <v>0.0214</v>
      </c>
      <c r="AA10" s="196"/>
      <c r="AB10" s="91"/>
    </row>
    <row r="11" ht="4.5" customHeight="1">
      <c r="AB11"/>
    </row>
    <row r="12" spans="2:28" ht="12.75" customHeight="1">
      <c r="B12" s="194" t="s">
        <v>83</v>
      </c>
      <c r="C12" s="70"/>
      <c r="D12" s="197">
        <v>12</v>
      </c>
      <c r="E12" s="197"/>
      <c r="F12" s="197"/>
      <c r="G12" s="71"/>
      <c r="H12" s="71"/>
      <c r="I12" s="71"/>
      <c r="J12" s="71"/>
      <c r="K12" s="71"/>
      <c r="L12" s="71"/>
      <c r="M12" s="71"/>
      <c r="N12" s="71"/>
      <c r="O12" s="89"/>
      <c r="P12" s="195">
        <f>12*Costes!I5+12*Costes!I9</f>
        <v>27387.705384000008</v>
      </c>
      <c r="Q12" s="195"/>
      <c r="R12" s="90"/>
      <c r="S12" s="195">
        <f>12*Costes!I5+12*Costes!I9</f>
        <v>27387.705384000008</v>
      </c>
      <c r="T12" s="195"/>
      <c r="U12" s="90"/>
      <c r="V12" s="195">
        <f>12*Costes!I5+12*Costes!I9</f>
        <v>27387.705384000008</v>
      </c>
      <c r="W12" s="195"/>
      <c r="X12" s="195">
        <f>12*Costes!I5+12*Costes!I9</f>
        <v>27387.705384000008</v>
      </c>
      <c r="Y12" s="195"/>
      <c r="Z12" s="195">
        <f>12*Costes!I5+12*Costes!I9</f>
        <v>27387.705384000008</v>
      </c>
      <c r="AA12" s="195"/>
      <c r="AB12" s="91"/>
    </row>
    <row r="13" spans="2:28" ht="12.75" customHeight="1">
      <c r="B13" s="194"/>
      <c r="C13" s="70"/>
      <c r="D13" s="198">
        <v>12</v>
      </c>
      <c r="E13" s="198"/>
      <c r="F13" s="198"/>
      <c r="G13" s="85"/>
      <c r="H13" s="85"/>
      <c r="I13" s="85"/>
      <c r="J13" s="85"/>
      <c r="K13" s="71"/>
      <c r="L13" s="71"/>
      <c r="M13" s="71"/>
      <c r="N13" s="94"/>
      <c r="O13" s="89"/>
      <c r="P13" s="196">
        <f>'Tto recibido'!D5</f>
        <v>0.0832831955922865</v>
      </c>
      <c r="Q13" s="196"/>
      <c r="R13" s="90"/>
      <c r="S13" s="196">
        <f>'Tto recibido'!E14</f>
        <v>0.17408872180451126</v>
      </c>
      <c r="T13" s="196"/>
      <c r="U13" s="90"/>
      <c r="V13" s="196">
        <f>'Tto recibido'!H14</f>
        <v>0.013793103448275862</v>
      </c>
      <c r="W13" s="196"/>
      <c r="X13" s="196">
        <f>'Tto recibido'!K14</f>
        <v>0.1622734693877551</v>
      </c>
      <c r="Y13" s="196"/>
      <c r="Z13" s="196">
        <f>'Tto recibido'!N14</f>
        <v>0.5480444444444444</v>
      </c>
      <c r="AA13" s="196"/>
      <c r="AB13" s="91"/>
    </row>
    <row r="14" ht="4.5" customHeight="1">
      <c r="AB14"/>
    </row>
    <row r="15" spans="2:28" ht="12.75" customHeight="1">
      <c r="B15" s="199" t="s">
        <v>84</v>
      </c>
      <c r="C15" s="70"/>
      <c r="D15" s="197">
        <v>12</v>
      </c>
      <c r="E15" s="197"/>
      <c r="F15" s="197"/>
      <c r="G15" s="71"/>
      <c r="H15" s="71"/>
      <c r="I15" s="71"/>
      <c r="J15" s="71"/>
      <c r="K15" s="71"/>
      <c r="L15" s="71"/>
      <c r="M15" s="71"/>
      <c r="N15" s="71"/>
      <c r="O15" s="89"/>
      <c r="P15" s="195">
        <f>12*Costes!I5+24*Costes!I9</f>
        <v>29175.436368000006</v>
      </c>
      <c r="Q15" s="195"/>
      <c r="R15" s="90"/>
      <c r="S15" s="195">
        <f>12*Costes!I5+24*Costes!I9</f>
        <v>29175.436368000006</v>
      </c>
      <c r="T15" s="195"/>
      <c r="U15" s="90"/>
      <c r="V15" s="195">
        <f>12*Costes!I5+24*Costes!I9</f>
        <v>29175.436368000006</v>
      </c>
      <c r="W15" s="195"/>
      <c r="X15" s="96"/>
      <c r="Y15" s="97"/>
      <c r="Z15" s="96"/>
      <c r="AA15" s="97"/>
      <c r="AB15" s="91"/>
    </row>
    <row r="16" spans="2:28" ht="12.75" customHeight="1">
      <c r="B16" s="199"/>
      <c r="C16" s="70"/>
      <c r="D16" s="198">
        <v>24</v>
      </c>
      <c r="E16" s="198"/>
      <c r="F16" s="198"/>
      <c r="G16" s="198"/>
      <c r="H16" s="198"/>
      <c r="I16" s="198"/>
      <c r="J16" s="71"/>
      <c r="K16" s="71"/>
      <c r="L16" s="71"/>
      <c r="M16" s="71"/>
      <c r="N16" s="71"/>
      <c r="O16" s="89"/>
      <c r="P16" s="196">
        <f>'Tto recibido'!E7</f>
        <v>0.5228847452739264</v>
      </c>
      <c r="Q16" s="196"/>
      <c r="R16" s="90"/>
      <c r="S16" s="196">
        <f>'Tto recibido'!E16</f>
        <v>0.2359093221776245</v>
      </c>
      <c r="T16" s="196"/>
      <c r="U16" s="90"/>
      <c r="V16" s="196">
        <f>'Tto recibido'!H16</f>
        <v>0.5305793103448276</v>
      </c>
      <c r="W16" s="196"/>
      <c r="X16" s="98"/>
      <c r="Y16" s="99"/>
      <c r="Z16" s="98"/>
      <c r="AA16" s="99"/>
      <c r="AB16" s="91"/>
    </row>
    <row r="17" ht="4.5" customHeight="1">
      <c r="AB17"/>
    </row>
    <row r="18" spans="2:28" ht="12.75" customHeight="1">
      <c r="B18" s="199" t="s">
        <v>85</v>
      </c>
      <c r="C18" s="70"/>
      <c r="D18" s="197">
        <v>12</v>
      </c>
      <c r="E18" s="197"/>
      <c r="F18" s="197"/>
      <c r="G18" s="71"/>
      <c r="H18" s="71"/>
      <c r="I18" s="71"/>
      <c r="J18" s="71"/>
      <c r="K18" s="71"/>
      <c r="L18" s="71"/>
      <c r="M18" s="71"/>
      <c r="N18" s="71"/>
      <c r="O18" s="89"/>
      <c r="P18" s="195">
        <f>12*Costes!I5+48*Costes!I9</f>
        <v>32750.898336000006</v>
      </c>
      <c r="Q18" s="195"/>
      <c r="R18" s="73"/>
      <c r="S18" s="195">
        <f>12*Costes!I5+48*Costes!I9</f>
        <v>32750.898336000006</v>
      </c>
      <c r="T18" s="195"/>
      <c r="U18" s="73"/>
      <c r="V18" s="195">
        <f>12*Costes!I5+48*Costes!I9</f>
        <v>32750.898336000006</v>
      </c>
      <c r="W18" s="195"/>
      <c r="X18" s="195">
        <f>12*Costes!I5+48*Costes!I9</f>
        <v>32750.898336000006</v>
      </c>
      <c r="Y18" s="195"/>
      <c r="Z18" s="195">
        <f>12*Costes!I5+48*Costes!I9</f>
        <v>32750.898336000006</v>
      </c>
      <c r="AA18" s="195"/>
      <c r="AB18" s="74"/>
    </row>
    <row r="19" spans="2:28" ht="12.75" customHeight="1">
      <c r="B19" s="199"/>
      <c r="C19" s="70"/>
      <c r="D19" s="192">
        <v>48</v>
      </c>
      <c r="E19" s="192"/>
      <c r="F19" s="192"/>
      <c r="G19" s="192"/>
      <c r="H19" s="192"/>
      <c r="I19" s="192"/>
      <c r="J19" s="192"/>
      <c r="K19" s="192"/>
      <c r="L19" s="192"/>
      <c r="M19" s="192"/>
      <c r="N19" s="192"/>
      <c r="O19" s="89"/>
      <c r="P19" s="196">
        <f>'Tto recibido'!E8</f>
        <v>0.3724320591337872</v>
      </c>
      <c r="Q19" s="196"/>
      <c r="R19" s="100"/>
      <c r="S19" s="196">
        <f>'Tto recibido'!E17</f>
        <v>0.5686019560178642</v>
      </c>
      <c r="T19" s="196"/>
      <c r="U19" s="100"/>
      <c r="V19" s="196">
        <f>'Tto recibido'!H17</f>
        <v>0.45562758620689653</v>
      </c>
      <c r="W19" s="196"/>
      <c r="X19" s="196">
        <f>'Tto recibido'!K17</f>
        <v>0.8163265306122449</v>
      </c>
      <c r="Y19" s="196"/>
      <c r="Z19" s="196">
        <f>'Tto recibido'!N17</f>
        <v>0.4305555555555556</v>
      </c>
      <c r="AA19" s="196"/>
      <c r="AB19" s="101"/>
    </row>
    <row r="20" ht="4.5" customHeight="1">
      <c r="AB20"/>
    </row>
    <row r="21" spans="2:28" ht="12.75" customHeight="1">
      <c r="B21" s="200" t="s">
        <v>9</v>
      </c>
      <c r="C21" s="70"/>
      <c r="D21" s="71"/>
      <c r="E21" s="71"/>
      <c r="F21" s="71"/>
      <c r="G21" s="71"/>
      <c r="H21" s="71"/>
      <c r="I21" s="71"/>
      <c r="J21" s="71"/>
      <c r="K21" s="71"/>
      <c r="L21" s="71"/>
      <c r="M21" s="71"/>
      <c r="N21" s="71"/>
      <c r="O21" s="102"/>
      <c r="P21" s="201">
        <f>P9*P10+P12*P13+P15*P16+P18*P19</f>
        <v>29929.176375353927</v>
      </c>
      <c r="Q21" s="201"/>
      <c r="R21" s="103"/>
      <c r="S21" s="201">
        <f>S9*S10+S12*S13+S15*S16+S18*S19</f>
        <v>30468.238528201407</v>
      </c>
      <c r="T21" s="201"/>
      <c r="U21" s="103"/>
      <c r="V21" s="201">
        <f>V9*V10+V12*V13+V15*V16+V18*V19</f>
        <v>30779.857115654406</v>
      </c>
      <c r="W21" s="201"/>
      <c r="X21" s="201">
        <f>X9*X10+X12*X13+X18*X19</f>
        <v>31375.09081603181</v>
      </c>
      <c r="Y21" s="201"/>
      <c r="Z21" s="201">
        <f>Z9*Z10+Z12*Z13+Z18*Z19</f>
        <v>29306.12664152161</v>
      </c>
      <c r="AA21" s="201"/>
      <c r="AB21" s="104"/>
    </row>
    <row r="22" spans="2:28" ht="12.75" customHeight="1">
      <c r="B22" s="200"/>
      <c r="C22" s="70"/>
      <c r="D22" s="71"/>
      <c r="E22" s="71"/>
      <c r="F22" s="71"/>
      <c r="G22" s="71"/>
      <c r="H22" s="71"/>
      <c r="I22" s="71"/>
      <c r="J22" s="71"/>
      <c r="K22" s="71"/>
      <c r="L22" s="71"/>
      <c r="M22" s="71"/>
      <c r="N22" s="71"/>
      <c r="O22" s="102"/>
      <c r="P22" s="105" t="s">
        <v>78</v>
      </c>
      <c r="Q22" s="106">
        <f>P23/Q23</f>
        <v>0.7465564738292011</v>
      </c>
      <c r="R22" s="77"/>
      <c r="S22" s="107" t="s">
        <v>79</v>
      </c>
      <c r="T22" s="108">
        <f>S23/T23</f>
        <v>0.6428571428571429</v>
      </c>
      <c r="U22" s="77"/>
      <c r="V22" s="105" t="s">
        <v>78</v>
      </c>
      <c r="W22" s="106">
        <f>V23/W23</f>
        <v>0.8344827586206897</v>
      </c>
      <c r="X22" s="109" t="s">
        <v>78</v>
      </c>
      <c r="Y22" s="106">
        <f>X23/Y23</f>
        <v>0.5918367346938775</v>
      </c>
      <c r="Z22" s="109" t="s">
        <v>78</v>
      </c>
      <c r="AA22" s="106">
        <f>Z23/AA23</f>
        <v>0.2916666666666667</v>
      </c>
      <c r="AB22" s="79"/>
    </row>
    <row r="23" spans="2:28" ht="12.75" customHeight="1">
      <c r="B23" s="80" t="s">
        <v>80</v>
      </c>
      <c r="C23" s="110"/>
      <c r="D23" s="71"/>
      <c r="E23" s="71"/>
      <c r="F23" s="71"/>
      <c r="G23" s="71"/>
      <c r="H23" s="71"/>
      <c r="I23" s="71"/>
      <c r="J23" s="71"/>
      <c r="K23" s="71"/>
      <c r="L23" s="71"/>
      <c r="M23" s="71"/>
      <c r="N23" s="71"/>
      <c r="O23" s="110"/>
      <c r="P23" s="81">
        <v>271</v>
      </c>
      <c r="Q23" s="81">
        <v>363</v>
      </c>
      <c r="R23" s="81"/>
      <c r="S23" s="81">
        <f>V23+X23+Z23</f>
        <v>171</v>
      </c>
      <c r="T23" s="81">
        <f>W23+Y23+AA23</f>
        <v>266</v>
      </c>
      <c r="U23" s="81"/>
      <c r="V23" s="81">
        <v>121</v>
      </c>
      <c r="W23" s="81">
        <v>145</v>
      </c>
      <c r="X23" s="81">
        <v>29</v>
      </c>
      <c r="Y23" s="81">
        <v>49</v>
      </c>
      <c r="Z23" s="81">
        <v>21</v>
      </c>
      <c r="AA23" s="81">
        <v>72</v>
      </c>
      <c r="AB23" s="82"/>
    </row>
    <row r="24" spans="2:28" ht="12.75" customHeight="1">
      <c r="B24" s="111" t="s">
        <v>81</v>
      </c>
      <c r="C24" s="112"/>
      <c r="D24" s="85"/>
      <c r="E24" s="85"/>
      <c r="F24" s="85"/>
      <c r="G24" s="85"/>
      <c r="H24" s="85"/>
      <c r="I24" s="85"/>
      <c r="J24" s="85"/>
      <c r="K24" s="85"/>
      <c r="L24" s="85"/>
      <c r="M24" s="85"/>
      <c r="N24" s="85"/>
      <c r="O24" s="72"/>
      <c r="P24" s="193">
        <f>P21/Q22</f>
        <v>40089.634775843086</v>
      </c>
      <c r="Q24" s="193"/>
      <c r="R24" s="87"/>
      <c r="S24" s="193">
        <f>S21/T22</f>
        <v>47395.03771053552</v>
      </c>
      <c r="T24" s="193"/>
      <c r="U24" s="87"/>
      <c r="V24" s="193">
        <f>V21/W22</f>
        <v>36884.952741899906</v>
      </c>
      <c r="W24" s="193"/>
      <c r="X24" s="193">
        <f>X21/Y22</f>
        <v>53013.084482260645</v>
      </c>
      <c r="Y24" s="193"/>
      <c r="Z24" s="193">
        <f>Z21/AA22</f>
        <v>100478.14848521694</v>
      </c>
      <c r="AA24" s="193"/>
      <c r="AB24" s="113"/>
    </row>
    <row r="25" ht="15.75" customHeight="1">
      <c r="AB25"/>
    </row>
    <row r="26" spans="1:28" ht="6.7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5"/>
    </row>
    <row r="27" spans="2:63" s="55" customFormat="1" ht="25.5" customHeight="1">
      <c r="B27" s="56" t="s">
        <v>10</v>
      </c>
      <c r="C27" s="57"/>
      <c r="D27" s="182" t="s">
        <v>71</v>
      </c>
      <c r="E27" s="182"/>
      <c r="F27" s="182"/>
      <c r="G27" s="182"/>
      <c r="H27" s="182"/>
      <c r="I27" s="182"/>
      <c r="J27" s="182"/>
      <c r="K27" s="182"/>
      <c r="L27" s="182"/>
      <c r="M27" s="182"/>
      <c r="N27" s="182"/>
      <c r="O27" s="58"/>
      <c r="P27" s="183" t="s">
        <v>72</v>
      </c>
      <c r="Q27" s="183"/>
      <c r="R27" s="59"/>
      <c r="S27" s="184" t="s">
        <v>73</v>
      </c>
      <c r="T27" s="184"/>
      <c r="U27" s="59"/>
      <c r="V27" s="185" t="s">
        <v>86</v>
      </c>
      <c r="W27" s="185"/>
      <c r="X27" s="185" t="s">
        <v>87</v>
      </c>
      <c r="Y27" s="185"/>
      <c r="Z27" s="185" t="s">
        <v>88</v>
      </c>
      <c r="AA27" s="185"/>
      <c r="AB27" s="60"/>
      <c r="AC27" s="61"/>
      <c r="AD27" s="61"/>
      <c r="AE27" s="116"/>
      <c r="AF27" s="61"/>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row>
    <row r="28" spans="2:63" s="63" customFormat="1" ht="12.75" customHeight="1">
      <c r="B28" s="64" t="s">
        <v>76</v>
      </c>
      <c r="C28" s="65"/>
      <c r="D28" s="66"/>
      <c r="E28" s="66"/>
      <c r="F28" s="66"/>
      <c r="G28" s="66"/>
      <c r="H28" s="66"/>
      <c r="I28" s="66"/>
      <c r="J28" s="66"/>
      <c r="K28" s="66"/>
      <c r="L28" s="66"/>
      <c r="M28" s="66"/>
      <c r="N28" s="66"/>
      <c r="O28" s="65"/>
      <c r="P28" s="202">
        <v>0.2</v>
      </c>
      <c r="Q28" s="202"/>
      <c r="R28" s="67"/>
      <c r="S28" s="187">
        <v>0.8</v>
      </c>
      <c r="T28" s="187"/>
      <c r="U28" s="65"/>
      <c r="V28" s="188">
        <f>(105+103)/(162+161)</f>
        <v>0.6439628482972136</v>
      </c>
      <c r="W28" s="188"/>
      <c r="X28" s="188">
        <f>(57+58)/(162+161)</f>
        <v>0.3560371517027864</v>
      </c>
      <c r="Y28" s="188"/>
      <c r="Z28" s="188">
        <f>(46+44)/(162+161)</f>
        <v>0.2786377708978328</v>
      </c>
      <c r="AA28" s="188"/>
      <c r="AB28" s="68"/>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row>
    <row r="29" spans="2:28" ht="12.75" customHeight="1">
      <c r="B29" s="189" t="s">
        <v>77</v>
      </c>
      <c r="C29" s="70"/>
      <c r="D29" s="71"/>
      <c r="E29" s="71"/>
      <c r="F29" s="71"/>
      <c r="G29" s="71"/>
      <c r="H29" s="71"/>
      <c r="I29" s="71"/>
      <c r="J29" s="71"/>
      <c r="K29" s="71"/>
      <c r="L29" s="71"/>
      <c r="M29" s="71"/>
      <c r="N29" s="71"/>
      <c r="O29" s="72"/>
      <c r="P29" s="190">
        <f>48*Costes!I9</f>
        <v>7150.923936000001</v>
      </c>
      <c r="Q29" s="190"/>
      <c r="R29" s="73"/>
      <c r="S29" s="190">
        <f>48*Costes!I9</f>
        <v>7150.923936000001</v>
      </c>
      <c r="T29" s="190"/>
      <c r="U29" s="73"/>
      <c r="V29" s="190">
        <f>48*Costes!I9</f>
        <v>7150.923936000001</v>
      </c>
      <c r="W29" s="190"/>
      <c r="X29" s="190">
        <f>48*Costes!I9</f>
        <v>7150.923936000001</v>
      </c>
      <c r="Y29" s="190"/>
      <c r="Z29" s="190">
        <f>48*Costes!I9</f>
        <v>7150.923936000001</v>
      </c>
      <c r="AA29" s="190"/>
      <c r="AB29" s="74"/>
    </row>
    <row r="30" spans="2:28" ht="12.75" customHeight="1">
      <c r="B30" s="189"/>
      <c r="C30" s="70"/>
      <c r="D30" s="192">
        <v>48</v>
      </c>
      <c r="E30" s="192"/>
      <c r="F30" s="192"/>
      <c r="G30" s="192"/>
      <c r="H30" s="192"/>
      <c r="I30" s="192"/>
      <c r="J30" s="192"/>
      <c r="K30" s="192"/>
      <c r="L30" s="192"/>
      <c r="M30" s="192"/>
      <c r="N30" s="192"/>
      <c r="O30" s="72"/>
      <c r="P30" s="75" t="s">
        <v>78</v>
      </c>
      <c r="Q30" s="76">
        <f>P31/Q31</f>
        <v>0.3774104683195592</v>
      </c>
      <c r="R30" s="77"/>
      <c r="S30" s="75" t="s">
        <v>78</v>
      </c>
      <c r="T30" s="76">
        <f>S31/T31</f>
        <v>0.2125</v>
      </c>
      <c r="U30" s="77"/>
      <c r="V30" s="75" t="s">
        <v>78</v>
      </c>
      <c r="W30" s="76">
        <f>V31/W31</f>
        <v>0.29411764705882354</v>
      </c>
      <c r="X30" s="75" t="s">
        <v>78</v>
      </c>
      <c r="Y30" s="76">
        <f>X31/Y31</f>
        <v>0.06896551724137931</v>
      </c>
      <c r="Z30" s="75" t="s">
        <v>78</v>
      </c>
      <c r="AA30" s="76">
        <f>Z31/AA31</f>
        <v>0</v>
      </c>
      <c r="AB30" s="79"/>
    </row>
    <row r="31" spans="2:28" ht="12.75" customHeight="1">
      <c r="B31" s="80" t="s">
        <v>80</v>
      </c>
      <c r="C31" s="72"/>
      <c r="D31" s="71"/>
      <c r="E31" s="71"/>
      <c r="F31" s="71"/>
      <c r="G31" s="71"/>
      <c r="H31" s="71"/>
      <c r="I31" s="71"/>
      <c r="J31" s="71"/>
      <c r="K31" s="71"/>
      <c r="L31" s="71"/>
      <c r="M31" s="71"/>
      <c r="N31" s="71"/>
      <c r="O31" s="72"/>
      <c r="P31" s="81">
        <v>137</v>
      </c>
      <c r="Q31" s="81">
        <v>363</v>
      </c>
      <c r="R31" s="81"/>
      <c r="S31" s="81">
        <f>V31+X31</f>
        <v>17</v>
      </c>
      <c r="T31" s="81">
        <f>W31+Y31</f>
        <v>80</v>
      </c>
      <c r="U31" s="81"/>
      <c r="V31" s="81">
        <v>15</v>
      </c>
      <c r="W31" s="81">
        <v>51</v>
      </c>
      <c r="X31" s="81">
        <v>2</v>
      </c>
      <c r="Y31" s="81">
        <v>29</v>
      </c>
      <c r="Z31" s="81">
        <v>0</v>
      </c>
      <c r="AA31" s="81">
        <v>12</v>
      </c>
      <c r="AB31" s="82"/>
    </row>
    <row r="32" spans="2:28" s="83" customFormat="1" ht="12.75" customHeight="1">
      <c r="B32" s="84" t="s">
        <v>81</v>
      </c>
      <c r="C32" s="84"/>
      <c r="D32" s="85"/>
      <c r="E32" s="85"/>
      <c r="F32" s="85"/>
      <c r="G32" s="85"/>
      <c r="H32" s="85"/>
      <c r="I32" s="85"/>
      <c r="J32" s="85"/>
      <c r="K32" s="85"/>
      <c r="L32" s="85"/>
      <c r="M32" s="85"/>
      <c r="N32" s="85"/>
      <c r="O32" s="86"/>
      <c r="P32" s="193">
        <f>P29/Q30</f>
        <v>18947.33860414599</v>
      </c>
      <c r="Q32" s="193"/>
      <c r="R32" s="117"/>
      <c r="S32" s="193">
        <f>S29/T30</f>
        <v>33651.40675764706</v>
      </c>
      <c r="T32" s="193"/>
      <c r="U32" s="117"/>
      <c r="V32" s="193">
        <f>V29/W30</f>
        <v>24313.1413824</v>
      </c>
      <c r="W32" s="193"/>
      <c r="X32" s="193">
        <f>X29/Y30</f>
        <v>103688.39707200002</v>
      </c>
      <c r="Y32" s="193"/>
      <c r="Z32" s="193" t="s">
        <v>89</v>
      </c>
      <c r="AA32" s="193"/>
      <c r="AB32" s="87"/>
    </row>
    <row r="33" spans="17:28" ht="4.5" customHeight="1">
      <c r="Q33" s="118"/>
      <c r="AB33"/>
    </row>
    <row r="34" spans="2:28" ht="12.75" customHeight="1">
      <c r="B34" s="194" t="s">
        <v>90</v>
      </c>
      <c r="C34" s="70"/>
      <c r="D34" s="71"/>
      <c r="E34" s="203"/>
      <c r="F34" s="203"/>
      <c r="G34" s="71"/>
      <c r="H34" s="120"/>
      <c r="I34" s="71"/>
      <c r="J34" s="71"/>
      <c r="K34" s="71"/>
      <c r="L34" s="71"/>
      <c r="M34" s="71"/>
      <c r="N34" s="71"/>
      <c r="O34" s="89"/>
      <c r="P34" s="121">
        <f>4*Costes!I9</f>
        <v>595.910328</v>
      </c>
      <c r="Q34" s="122">
        <f>48*Costes!I9</f>
        <v>7150.923936000001</v>
      </c>
      <c r="R34" s="90"/>
      <c r="S34" s="204">
        <f>4*Costes!$I$9</f>
        <v>595.910328</v>
      </c>
      <c r="T34" s="204"/>
      <c r="U34" s="90"/>
      <c r="V34" s="204">
        <f>4*Costes!$I$9</f>
        <v>595.910328</v>
      </c>
      <c r="W34" s="204"/>
      <c r="X34" s="204">
        <f>4*Costes!$I$9</f>
        <v>595.910328</v>
      </c>
      <c r="Y34" s="204"/>
      <c r="Z34" s="204">
        <f>4*Costes!$I$9</f>
        <v>595.910328</v>
      </c>
      <c r="AA34" s="204"/>
      <c r="AB34" s="91"/>
    </row>
    <row r="35" spans="2:28" ht="12.75" customHeight="1">
      <c r="B35" s="194"/>
      <c r="C35" s="70"/>
      <c r="D35" s="95">
        <v>4</v>
      </c>
      <c r="E35" s="71"/>
      <c r="F35" s="71"/>
      <c r="G35" s="71"/>
      <c r="H35" s="71"/>
      <c r="I35" s="71"/>
      <c r="J35" s="71"/>
      <c r="K35" s="71"/>
      <c r="L35" s="71"/>
      <c r="M35" s="71"/>
      <c r="N35" s="71"/>
      <c r="O35" s="89"/>
      <c r="P35" s="123">
        <f>'Tto recibido'!E21</f>
        <v>0.04891304347826087</v>
      </c>
      <c r="Q35" s="124">
        <f>'Tto recibido'!E22</f>
        <v>0.051630434782608696</v>
      </c>
      <c r="R35" s="90"/>
      <c r="S35" s="205">
        <f>'Tto recibido'!E31</f>
        <v>0.021671826625386997</v>
      </c>
      <c r="T35" s="205"/>
      <c r="U35" s="90"/>
      <c r="V35" s="205">
        <f>'Tto recibido'!E31</f>
        <v>0.021671826625386997</v>
      </c>
      <c r="W35" s="205"/>
      <c r="X35" s="205">
        <f>'Tto recibido'!E31</f>
        <v>0.021671826625386997</v>
      </c>
      <c r="Y35" s="205"/>
      <c r="Z35" s="205">
        <f>'Tto recibido'!E39</f>
        <v>0.0625</v>
      </c>
      <c r="AA35" s="205"/>
      <c r="AB35" s="91"/>
    </row>
    <row r="36" ht="4.5" customHeight="1">
      <c r="AB36"/>
    </row>
    <row r="37" spans="2:28" ht="12.75" customHeight="1">
      <c r="B37" s="194" t="s">
        <v>83</v>
      </c>
      <c r="C37" s="70"/>
      <c r="D37" s="71"/>
      <c r="E37" s="206">
        <v>8</v>
      </c>
      <c r="F37" s="206"/>
      <c r="G37" s="71"/>
      <c r="H37" s="120"/>
      <c r="I37" s="71"/>
      <c r="J37" s="71"/>
      <c r="K37" s="71"/>
      <c r="L37" s="71"/>
      <c r="M37" s="71"/>
      <c r="N37" s="71"/>
      <c r="O37" s="89"/>
      <c r="P37" s="125"/>
      <c r="Q37" s="126"/>
      <c r="R37" s="90"/>
      <c r="S37" s="204">
        <f>(8*Costes!I6)+(12*Costes!I9)</f>
        <v>7605.906984000001</v>
      </c>
      <c r="T37" s="204"/>
      <c r="U37" s="90"/>
      <c r="V37" s="204">
        <f>(8*Costes!I6)+(12*Costes!I9)</f>
        <v>7605.906984000001</v>
      </c>
      <c r="W37" s="204"/>
      <c r="X37" s="204">
        <f>(8*Costes!I6)+(12*Costes!I9)</f>
        <v>7605.906984000001</v>
      </c>
      <c r="Y37" s="204"/>
      <c r="Z37" s="204">
        <f>(8*Costes!I6)+(12*Costes!I9)</f>
        <v>7605.906984000001</v>
      </c>
      <c r="AA37" s="204"/>
      <c r="AB37" s="91"/>
    </row>
    <row r="38" spans="2:28" ht="12.75" customHeight="1">
      <c r="B38" s="194"/>
      <c r="C38" s="70"/>
      <c r="D38" s="198">
        <v>12</v>
      </c>
      <c r="E38" s="198"/>
      <c r="F38" s="198"/>
      <c r="G38" s="71"/>
      <c r="H38" s="71"/>
      <c r="I38" s="71"/>
      <c r="J38" s="71"/>
      <c r="K38" s="71"/>
      <c r="L38" s="71"/>
      <c r="M38" s="71"/>
      <c r="N38" s="71"/>
      <c r="O38" s="89"/>
      <c r="P38" s="127"/>
      <c r="Q38" s="128"/>
      <c r="R38" s="90"/>
      <c r="S38" s="205">
        <f>'Tto recibido'!E32</f>
        <v>0.20123839009287925</v>
      </c>
      <c r="T38" s="205"/>
      <c r="U38" s="90"/>
      <c r="V38" s="205">
        <v>0.20123839009287925</v>
      </c>
      <c r="W38" s="205"/>
      <c r="X38" s="205">
        <v>0.20123839009287925</v>
      </c>
      <c r="Y38" s="205"/>
      <c r="Z38" s="205">
        <f>'Tto recibido'!E40</f>
        <v>0.4444444444444444</v>
      </c>
      <c r="AA38" s="205"/>
      <c r="AB38" s="91"/>
    </row>
    <row r="39" ht="4.5" customHeight="1">
      <c r="AB39"/>
    </row>
    <row r="40" spans="2:28" ht="12.75" customHeight="1">
      <c r="B40" s="194" t="s">
        <v>91</v>
      </c>
      <c r="C40" s="70"/>
      <c r="D40" s="71"/>
      <c r="E40" s="207">
        <v>20</v>
      </c>
      <c r="F40" s="207"/>
      <c r="G40" s="207"/>
      <c r="H40" s="207"/>
      <c r="I40" s="207"/>
      <c r="J40" s="71"/>
      <c r="K40" s="71"/>
      <c r="L40" s="71"/>
      <c r="M40" s="71"/>
      <c r="N40" s="71"/>
      <c r="O40" s="89"/>
      <c r="P40" s="204">
        <f>(20*Costes!I6)+(24*Costes!I9)</f>
        <v>18120.901968000002</v>
      </c>
      <c r="Q40" s="204"/>
      <c r="R40" s="90"/>
      <c r="S40" s="125"/>
      <c r="T40" s="126"/>
      <c r="U40" s="90"/>
      <c r="V40" s="125"/>
      <c r="W40" s="126"/>
      <c r="X40" s="125"/>
      <c r="Y40" s="126"/>
      <c r="Z40" s="125"/>
      <c r="AA40" s="126"/>
      <c r="AB40" s="91"/>
    </row>
    <row r="41" spans="2:28" ht="12.75" customHeight="1">
      <c r="B41" s="194"/>
      <c r="C41" s="70"/>
      <c r="D41" s="198">
        <v>24</v>
      </c>
      <c r="E41" s="198"/>
      <c r="F41" s="198"/>
      <c r="G41" s="198"/>
      <c r="H41" s="198"/>
      <c r="I41" s="198"/>
      <c r="J41" s="71"/>
      <c r="K41" s="71"/>
      <c r="L41" s="71"/>
      <c r="M41" s="71"/>
      <c r="N41" s="71"/>
      <c r="O41" s="89"/>
      <c r="P41" s="205">
        <f>'Tto recibido'!E23</f>
        <v>0.08967391304347826</v>
      </c>
      <c r="Q41" s="205"/>
      <c r="R41" s="90"/>
      <c r="S41" s="127"/>
      <c r="T41" s="128"/>
      <c r="U41" s="90"/>
      <c r="V41" s="127"/>
      <c r="W41" s="128"/>
      <c r="X41" s="127"/>
      <c r="Y41" s="128"/>
      <c r="Z41" s="127"/>
      <c r="AA41" s="128"/>
      <c r="AB41" s="91"/>
    </row>
    <row r="42" ht="4.5" customHeight="1">
      <c r="AB42"/>
    </row>
    <row r="43" spans="2:28" ht="12.75" customHeight="1">
      <c r="B43" s="208" t="s">
        <v>92</v>
      </c>
      <c r="C43" s="70"/>
      <c r="D43" s="71"/>
      <c r="E43" s="206">
        <v>24</v>
      </c>
      <c r="F43" s="206"/>
      <c r="G43" s="206"/>
      <c r="H43" s="206"/>
      <c r="I43" s="206"/>
      <c r="J43" s="206"/>
      <c r="K43" s="71"/>
      <c r="L43" s="71"/>
      <c r="M43" s="71"/>
      <c r="N43" s="71"/>
      <c r="O43" s="89"/>
      <c r="P43" s="204">
        <f>(24*Costes!I6)+(28*Costes!I9)</f>
        <v>21625.900296000007</v>
      </c>
      <c r="Q43" s="204"/>
      <c r="R43" s="90"/>
      <c r="S43" s="125"/>
      <c r="T43" s="126"/>
      <c r="U43" s="90"/>
      <c r="V43" s="125"/>
      <c r="W43" s="126"/>
      <c r="X43" s="125"/>
      <c r="Y43" s="126"/>
      <c r="Z43" s="125"/>
      <c r="AA43" s="126"/>
      <c r="AB43" s="91"/>
    </row>
    <row r="44" spans="2:28" ht="12.75" customHeight="1">
      <c r="B44" s="208"/>
      <c r="C44" s="70"/>
      <c r="D44" s="198">
        <v>28</v>
      </c>
      <c r="E44" s="198"/>
      <c r="F44" s="198"/>
      <c r="G44" s="198"/>
      <c r="H44" s="198"/>
      <c r="I44" s="198"/>
      <c r="J44" s="198"/>
      <c r="K44" s="71"/>
      <c r="L44" s="71"/>
      <c r="M44" s="71"/>
      <c r="N44" s="71"/>
      <c r="O44" s="89"/>
      <c r="P44" s="205">
        <f>'Tto recibido'!E25</f>
        <v>0.35648038752362954</v>
      </c>
      <c r="Q44" s="205"/>
      <c r="R44" s="90"/>
      <c r="S44" s="127"/>
      <c r="T44" s="128"/>
      <c r="U44" s="90"/>
      <c r="V44" s="127"/>
      <c r="W44" s="128"/>
      <c r="X44" s="127"/>
      <c r="Y44" s="128"/>
      <c r="Z44" s="127"/>
      <c r="AA44" s="128"/>
      <c r="AB44" s="91"/>
    </row>
    <row r="45" ht="4.5" customHeight="1">
      <c r="AB45"/>
    </row>
    <row r="46" spans="2:28" ht="12.75" customHeight="1">
      <c r="B46" s="208" t="s">
        <v>93</v>
      </c>
      <c r="C46" s="70"/>
      <c r="D46" s="71"/>
      <c r="E46" s="206">
        <v>32</v>
      </c>
      <c r="F46" s="206"/>
      <c r="G46" s="206"/>
      <c r="H46" s="206"/>
      <c r="I46" s="206"/>
      <c r="J46" s="206"/>
      <c r="K46" s="206"/>
      <c r="L46" s="206"/>
      <c r="M46" s="71"/>
      <c r="N46" s="71"/>
      <c r="O46" s="89"/>
      <c r="P46" s="204">
        <f>(32*Costes!I6)+(48*Costes!I9)</f>
        <v>30423.627936000004</v>
      </c>
      <c r="Q46" s="204"/>
      <c r="R46" s="90"/>
      <c r="S46" s="204">
        <f>(32*Costes!I6)+(48*Costes!I9)</f>
        <v>30423.627936000004</v>
      </c>
      <c r="T46" s="204"/>
      <c r="U46" s="90"/>
      <c r="V46" s="204">
        <f>(32*Costes!I6)+(48*Costes!I9)</f>
        <v>30423.627936000004</v>
      </c>
      <c r="W46" s="204"/>
      <c r="X46" s="204">
        <f>(32*Costes!I6)+(48*Costes!I9)</f>
        <v>30423.627936000004</v>
      </c>
      <c r="Y46" s="204"/>
      <c r="Z46" s="125"/>
      <c r="AA46" s="126"/>
      <c r="AB46" s="91"/>
    </row>
    <row r="47" spans="2:28" ht="12.75" customHeight="1">
      <c r="B47" s="208"/>
      <c r="C47" s="70"/>
      <c r="D47" s="192">
        <v>48</v>
      </c>
      <c r="E47" s="192"/>
      <c r="F47" s="192"/>
      <c r="G47" s="192"/>
      <c r="H47" s="192"/>
      <c r="I47" s="192"/>
      <c r="J47" s="192"/>
      <c r="K47" s="192"/>
      <c r="L47" s="192"/>
      <c r="M47" s="192"/>
      <c r="N47" s="192"/>
      <c r="O47" s="89"/>
      <c r="P47" s="205">
        <f>'Tto recibido'!E26</f>
        <v>0.41809428166351603</v>
      </c>
      <c r="Q47" s="205"/>
      <c r="R47" s="90"/>
      <c r="S47" s="205">
        <f>'Tto recibido'!E34</f>
        <v>0.6832616051145894</v>
      </c>
      <c r="T47" s="205"/>
      <c r="U47" s="90"/>
      <c r="V47" s="205">
        <f>(100%-V50-V35-V38)</f>
        <v>0.6832616051145894</v>
      </c>
      <c r="W47" s="205"/>
      <c r="X47" s="205">
        <f>(100%-X50-X35-X38)</f>
        <v>0.6832616051145894</v>
      </c>
      <c r="Y47" s="205"/>
      <c r="Z47" s="127"/>
      <c r="AA47" s="128"/>
      <c r="AB47" s="91"/>
    </row>
    <row r="48" ht="4.5" customHeight="1">
      <c r="AB48"/>
    </row>
    <row r="49" spans="2:28" ht="12.75" customHeight="1">
      <c r="B49" s="208" t="s">
        <v>94</v>
      </c>
      <c r="C49" s="70"/>
      <c r="D49" s="71"/>
      <c r="E49" s="206">
        <v>44</v>
      </c>
      <c r="F49" s="206"/>
      <c r="G49" s="206"/>
      <c r="H49" s="206"/>
      <c r="I49" s="206"/>
      <c r="J49" s="206"/>
      <c r="K49" s="206"/>
      <c r="L49" s="206"/>
      <c r="M49" s="206"/>
      <c r="N49" s="206"/>
      <c r="O49" s="89"/>
      <c r="P49" s="204">
        <f>(44*Costes!I6)+(48*Costes!I9)</f>
        <v>39150.89193600001</v>
      </c>
      <c r="Q49" s="204"/>
      <c r="R49" s="73"/>
      <c r="S49" s="204">
        <f>(44*Costes!I6)+(48*Costes!I9)</f>
        <v>39150.89193600001</v>
      </c>
      <c r="T49" s="204"/>
      <c r="U49" s="73"/>
      <c r="V49" s="204">
        <f>(44*Costes!I6)+(48*Costes!I9)</f>
        <v>39150.89193600001</v>
      </c>
      <c r="W49" s="204"/>
      <c r="X49" s="204">
        <f>(44*Costes!I6)+(48*Costes!I9)</f>
        <v>39150.89193600001</v>
      </c>
      <c r="Y49" s="204"/>
      <c r="Z49" s="204">
        <f>(44*Costes!I6)+(48*Costes!I9)</f>
        <v>39150.89193600001</v>
      </c>
      <c r="AA49" s="204"/>
      <c r="AB49" s="74"/>
    </row>
    <row r="50" spans="2:28" ht="12.75" customHeight="1">
      <c r="B50" s="208"/>
      <c r="C50" s="70"/>
      <c r="D50" s="192">
        <v>48</v>
      </c>
      <c r="E50" s="192"/>
      <c r="F50" s="192"/>
      <c r="G50" s="192"/>
      <c r="H50" s="192"/>
      <c r="I50" s="192"/>
      <c r="J50" s="192"/>
      <c r="K50" s="192"/>
      <c r="L50" s="192"/>
      <c r="M50" s="192"/>
      <c r="N50" s="192"/>
      <c r="O50" s="89"/>
      <c r="P50" s="205">
        <f>'Tto recibido'!E27</f>
        <v>0.03520793950850662</v>
      </c>
      <c r="Q50" s="205"/>
      <c r="R50" s="100"/>
      <c r="S50" s="205">
        <f>'Tto recibido'!E35</f>
        <v>0.09382817816714432</v>
      </c>
      <c r="T50" s="205"/>
      <c r="U50" s="100"/>
      <c r="V50" s="205">
        <f>(39/323)*(100%-V38-V35)</f>
        <v>0.09382817816714432</v>
      </c>
      <c r="W50" s="205"/>
      <c r="X50" s="205">
        <f>(39/323)*(100%-X38-X35)</f>
        <v>0.09382817816714432</v>
      </c>
      <c r="Y50" s="205"/>
      <c r="Z50" s="205">
        <f>'Tto recibido'!E42</f>
        <v>0.5555555555555556</v>
      </c>
      <c r="AA50" s="205"/>
      <c r="AB50" s="101"/>
    </row>
    <row r="51" ht="4.5" customHeight="1">
      <c r="AB51"/>
    </row>
    <row r="52" spans="2:28" ht="12.75" customHeight="1">
      <c r="B52" s="209" t="s">
        <v>10</v>
      </c>
      <c r="C52" s="70"/>
      <c r="D52" s="71"/>
      <c r="E52" s="71"/>
      <c r="F52" s="71"/>
      <c r="G52" s="71"/>
      <c r="H52" s="71"/>
      <c r="I52" s="71"/>
      <c r="J52" s="71"/>
      <c r="K52" s="71"/>
      <c r="L52" s="71"/>
      <c r="M52" s="71"/>
      <c r="N52" s="71"/>
      <c r="O52" s="102"/>
      <c r="P52" s="210">
        <f>P34*P35+Q34*Q35+P40*P41+P43*P44+P46*P47+P49*P50</f>
        <v>23830.901707595705</v>
      </c>
      <c r="Q52" s="210"/>
      <c r="R52" s="73"/>
      <c r="S52" s="210">
        <f>S37*S38+S34*S35+S46*S47+S49*S50</f>
        <v>26004.268662903087</v>
      </c>
      <c r="T52" s="210"/>
      <c r="U52" s="73"/>
      <c r="V52" s="210">
        <f>V34*V35+V37*V38+V46*V47+V49*V50</f>
        <v>26004.268662903087</v>
      </c>
      <c r="W52" s="210"/>
      <c r="X52" s="211">
        <f>X34*X35+X37*X38+X46*X47+X49*X50</f>
        <v>26004.268662903087</v>
      </c>
      <c r="Y52" s="211"/>
      <c r="Z52" s="211">
        <f>Z34*Z35+Z37*Z38+Z49*Z50</f>
        <v>25168.143019500003</v>
      </c>
      <c r="AA52" s="211"/>
      <c r="AB52" s="74"/>
    </row>
    <row r="53" spans="2:28" ht="12.75" customHeight="1">
      <c r="B53" s="209"/>
      <c r="C53" s="70"/>
      <c r="D53" s="71"/>
      <c r="E53" s="71"/>
      <c r="F53" s="71"/>
      <c r="G53" s="71"/>
      <c r="H53" s="71"/>
      <c r="I53" s="71"/>
      <c r="J53" s="71"/>
      <c r="K53" s="71"/>
      <c r="L53" s="71"/>
      <c r="M53" s="71"/>
      <c r="N53" s="71"/>
      <c r="O53" s="102"/>
      <c r="P53" s="129" t="s">
        <v>78</v>
      </c>
      <c r="Q53" s="130">
        <f>P54/Q54</f>
        <v>0.6471389645776566</v>
      </c>
      <c r="R53" s="77"/>
      <c r="S53" s="129" t="s">
        <v>78</v>
      </c>
      <c r="T53" s="130">
        <v>0.625</v>
      </c>
      <c r="U53" s="77"/>
      <c r="V53" s="129" t="s">
        <v>78</v>
      </c>
      <c r="W53" s="130">
        <f>V54/W54</f>
        <v>0.7163461538461539</v>
      </c>
      <c r="X53" s="131" t="s">
        <v>78</v>
      </c>
      <c r="Y53" s="130">
        <f>X54/Y54</f>
        <v>0.4608695652173913</v>
      </c>
      <c r="Z53" s="131" t="s">
        <v>78</v>
      </c>
      <c r="AA53" s="130">
        <f>Z54/AA54</f>
        <v>0.38095238095238093</v>
      </c>
      <c r="AB53" s="79"/>
    </row>
    <row r="54" spans="2:28" ht="12.75" customHeight="1">
      <c r="B54" s="80" t="s">
        <v>80</v>
      </c>
      <c r="C54" s="110"/>
      <c r="D54" s="71"/>
      <c r="E54" s="71"/>
      <c r="F54" s="71"/>
      <c r="G54" s="71"/>
      <c r="H54" s="71"/>
      <c r="I54" s="71"/>
      <c r="J54" s="71"/>
      <c r="K54" s="71"/>
      <c r="L54" s="71"/>
      <c r="M54" s="71"/>
      <c r="N54" s="71"/>
      <c r="O54" s="110"/>
      <c r="P54" s="81">
        <f>233+242</f>
        <v>475</v>
      </c>
      <c r="Q54" s="81">
        <f>368+366</f>
        <v>734</v>
      </c>
      <c r="R54" s="81"/>
      <c r="S54" s="81">
        <f>95+107</f>
        <v>202</v>
      </c>
      <c r="T54" s="81">
        <f>162+161</f>
        <v>323</v>
      </c>
      <c r="U54" s="81"/>
      <c r="V54" s="81">
        <f>72+77</f>
        <v>149</v>
      </c>
      <c r="W54" s="81">
        <f>105+103</f>
        <v>208</v>
      </c>
      <c r="X54" s="81">
        <f>23+30</f>
        <v>53</v>
      </c>
      <c r="Y54" s="81">
        <f>57+58</f>
        <v>115</v>
      </c>
      <c r="Z54" s="81">
        <v>16</v>
      </c>
      <c r="AA54" s="81">
        <v>42</v>
      </c>
      <c r="AB54" s="82"/>
    </row>
    <row r="55" spans="2:28" ht="12.75" customHeight="1">
      <c r="B55" s="84" t="s">
        <v>81</v>
      </c>
      <c r="C55" s="84"/>
      <c r="D55" s="85"/>
      <c r="E55" s="85"/>
      <c r="F55" s="85"/>
      <c r="G55" s="85"/>
      <c r="H55" s="85"/>
      <c r="I55" s="85"/>
      <c r="J55" s="85"/>
      <c r="K55" s="85"/>
      <c r="L55" s="85"/>
      <c r="M55" s="85"/>
      <c r="N55" s="85"/>
      <c r="O55" s="72"/>
      <c r="P55" s="193">
        <f>P52/Q53</f>
        <v>36825.01442815842</v>
      </c>
      <c r="Q55" s="193"/>
      <c r="R55" s="132"/>
      <c r="S55" s="193">
        <f>S52/T53</f>
        <v>41606.82986064494</v>
      </c>
      <c r="T55" s="193"/>
      <c r="U55" s="132"/>
      <c r="V55" s="193">
        <f>V52/W53</f>
        <v>36301.26095224055</v>
      </c>
      <c r="W55" s="193"/>
      <c r="X55" s="193">
        <f>X52/Y53</f>
        <v>56424.35653271424</v>
      </c>
      <c r="Y55" s="193"/>
      <c r="Z55" s="193">
        <f>Z52/AA53</f>
        <v>66066.37542618751</v>
      </c>
      <c r="AA55" s="193"/>
      <c r="AB55" s="113"/>
    </row>
    <row r="56" ht="4.5" customHeight="1">
      <c r="AB56"/>
    </row>
    <row r="57" spans="2:28" s="54" customFormat="1" ht="15">
      <c r="B57" s="133"/>
      <c r="C57" s="134"/>
      <c r="D57" s="119"/>
      <c r="E57" s="119"/>
      <c r="F57" s="119"/>
      <c r="G57" s="119"/>
      <c r="H57" s="119"/>
      <c r="I57" s="119"/>
      <c r="J57" s="119"/>
      <c r="K57" s="119"/>
      <c r="L57" s="119"/>
      <c r="M57" s="119"/>
      <c r="N57" s="119"/>
      <c r="O57" s="134"/>
      <c r="P57" s="134"/>
      <c r="Q57" s="134"/>
      <c r="R57" s="134"/>
      <c r="S57" s="134"/>
      <c r="T57" s="134"/>
      <c r="U57" s="134"/>
      <c r="V57" s="134"/>
      <c r="W57" s="134"/>
      <c r="X57" s="134"/>
      <c r="Y57" s="134"/>
      <c r="Z57" s="134"/>
      <c r="AA57" s="134"/>
      <c r="AB57" s="134"/>
    </row>
    <row r="58" ht="12.75"/>
    <row r="59" ht="12.75"/>
    <row r="60" spans="16:25" ht="12.75">
      <c r="P60" s="49"/>
      <c r="Y60" s="49"/>
    </row>
    <row r="61" ht="12.75">
      <c r="P61" s="49"/>
    </row>
    <row r="67" ht="12.75"/>
    <row r="70" ht="12.75"/>
    <row r="71" ht="12.75"/>
    <row r="72" ht="12.75"/>
    <row r="73" ht="12.75"/>
    <row r="85" ht="12.75"/>
    <row r="87" ht="12.75"/>
    <row r="88" ht="12.75"/>
    <row r="89" ht="12.75"/>
  </sheetData>
  <sheetProtection selectLockedCells="1" selectUnlockedCells="1"/>
  <mergeCells count="169">
    <mergeCell ref="P55:Q55"/>
    <mergeCell ref="S55:T55"/>
    <mergeCell ref="V55:W55"/>
    <mergeCell ref="X55:Y55"/>
    <mergeCell ref="Z55:AA55"/>
    <mergeCell ref="B52:B53"/>
    <mergeCell ref="P52:Q52"/>
    <mergeCell ref="S52:T52"/>
    <mergeCell ref="V52:W52"/>
    <mergeCell ref="X52:Y52"/>
    <mergeCell ref="Z52:AA52"/>
    <mergeCell ref="Z49:AA49"/>
    <mergeCell ref="D50:N50"/>
    <mergeCell ref="P50:Q50"/>
    <mergeCell ref="S50:T50"/>
    <mergeCell ref="V50:W50"/>
    <mergeCell ref="X50:Y50"/>
    <mergeCell ref="Z50:AA50"/>
    <mergeCell ref="X47:Y47"/>
    <mergeCell ref="B49:B50"/>
    <mergeCell ref="E49:N49"/>
    <mergeCell ref="P49:Q49"/>
    <mergeCell ref="S49:T49"/>
    <mergeCell ref="V49:W49"/>
    <mergeCell ref="X49:Y49"/>
    <mergeCell ref="B46:B47"/>
    <mergeCell ref="E46:L46"/>
    <mergeCell ref="P46:Q46"/>
    <mergeCell ref="S46:T46"/>
    <mergeCell ref="V46:W46"/>
    <mergeCell ref="X46:Y46"/>
    <mergeCell ref="D47:N47"/>
    <mergeCell ref="P47:Q47"/>
    <mergeCell ref="S47:T47"/>
    <mergeCell ref="V47:W47"/>
    <mergeCell ref="B40:B41"/>
    <mergeCell ref="E40:I40"/>
    <mergeCell ref="P40:Q40"/>
    <mergeCell ref="D41:I41"/>
    <mergeCell ref="P41:Q41"/>
    <mergeCell ref="B43:B44"/>
    <mergeCell ref="E43:J43"/>
    <mergeCell ref="P43:Q43"/>
    <mergeCell ref="D44:J44"/>
    <mergeCell ref="P44:Q44"/>
    <mergeCell ref="Z37:AA37"/>
    <mergeCell ref="D38:F38"/>
    <mergeCell ref="S38:T38"/>
    <mergeCell ref="V38:W38"/>
    <mergeCell ref="X38:Y38"/>
    <mergeCell ref="Z38:AA38"/>
    <mergeCell ref="Z34:AA34"/>
    <mergeCell ref="S35:T35"/>
    <mergeCell ref="V35:W35"/>
    <mergeCell ref="X35:Y35"/>
    <mergeCell ref="Z35:AA35"/>
    <mergeCell ref="B37:B38"/>
    <mergeCell ref="E37:F37"/>
    <mergeCell ref="S37:T37"/>
    <mergeCell ref="V37:W37"/>
    <mergeCell ref="X37:Y37"/>
    <mergeCell ref="P32:Q32"/>
    <mergeCell ref="S32:T32"/>
    <mergeCell ref="V32:W32"/>
    <mergeCell ref="X32:Y32"/>
    <mergeCell ref="Z32:AA32"/>
    <mergeCell ref="B34:B35"/>
    <mergeCell ref="E34:F34"/>
    <mergeCell ref="S34:T34"/>
    <mergeCell ref="V34:W34"/>
    <mergeCell ref="X34:Y34"/>
    <mergeCell ref="B29:B30"/>
    <mergeCell ref="P29:Q29"/>
    <mergeCell ref="S29:T29"/>
    <mergeCell ref="V29:W29"/>
    <mergeCell ref="X29:Y29"/>
    <mergeCell ref="Z29:AA29"/>
    <mergeCell ref="D30:N30"/>
    <mergeCell ref="Z27:AA27"/>
    <mergeCell ref="P28:Q28"/>
    <mergeCell ref="S28:T28"/>
    <mergeCell ref="V28:W28"/>
    <mergeCell ref="X28:Y28"/>
    <mergeCell ref="Z28:AA28"/>
    <mergeCell ref="P24:Q24"/>
    <mergeCell ref="S24:T24"/>
    <mergeCell ref="V24:W24"/>
    <mergeCell ref="X24:Y24"/>
    <mergeCell ref="Z24:AA24"/>
    <mergeCell ref="D27:N27"/>
    <mergeCell ref="P27:Q27"/>
    <mergeCell ref="S27:T27"/>
    <mergeCell ref="V27:W27"/>
    <mergeCell ref="X27:Y27"/>
    <mergeCell ref="B21:B22"/>
    <mergeCell ref="P21:Q21"/>
    <mergeCell ref="S21:T21"/>
    <mergeCell ref="V21:W21"/>
    <mergeCell ref="X21:Y21"/>
    <mergeCell ref="Z21:AA21"/>
    <mergeCell ref="X18:Y18"/>
    <mergeCell ref="Z18:AA18"/>
    <mergeCell ref="D19:N19"/>
    <mergeCell ref="P19:Q19"/>
    <mergeCell ref="S19:T19"/>
    <mergeCell ref="V19:W19"/>
    <mergeCell ref="X19:Y19"/>
    <mergeCell ref="Z19:AA19"/>
    <mergeCell ref="P16:Q16"/>
    <mergeCell ref="S16:T16"/>
    <mergeCell ref="V16:W16"/>
    <mergeCell ref="B18:B19"/>
    <mergeCell ref="D18:F18"/>
    <mergeCell ref="P18:Q18"/>
    <mergeCell ref="S18:T18"/>
    <mergeCell ref="V18:W18"/>
    <mergeCell ref="S13:T13"/>
    <mergeCell ref="V13:W13"/>
    <mergeCell ref="X13:Y13"/>
    <mergeCell ref="Z13:AA13"/>
    <mergeCell ref="B15:B16"/>
    <mergeCell ref="D15:F15"/>
    <mergeCell ref="P15:Q15"/>
    <mergeCell ref="S15:T15"/>
    <mergeCell ref="V15:W15"/>
    <mergeCell ref="D16:I16"/>
    <mergeCell ref="Z10:AA10"/>
    <mergeCell ref="B12:B13"/>
    <mergeCell ref="D12:F12"/>
    <mergeCell ref="P12:Q12"/>
    <mergeCell ref="S12:T12"/>
    <mergeCell ref="V12:W12"/>
    <mergeCell ref="X12:Y12"/>
    <mergeCell ref="Z12:AA12"/>
    <mergeCell ref="D13:F13"/>
    <mergeCell ref="P13:Q13"/>
    <mergeCell ref="B9:B10"/>
    <mergeCell ref="P9:Q9"/>
    <mergeCell ref="S9:T9"/>
    <mergeCell ref="V9:W9"/>
    <mergeCell ref="X9:Y9"/>
    <mergeCell ref="Z9:AA9"/>
    <mergeCell ref="P10:Q10"/>
    <mergeCell ref="S10:T10"/>
    <mergeCell ref="V10:W10"/>
    <mergeCell ref="X10:Y10"/>
    <mergeCell ref="Z4:AA4"/>
    <mergeCell ref="D5:N5"/>
    <mergeCell ref="P7:Q7"/>
    <mergeCell ref="S7:T7"/>
    <mergeCell ref="V7:W7"/>
    <mergeCell ref="X7:Y7"/>
    <mergeCell ref="Z7:AA7"/>
    <mergeCell ref="P3:Q3"/>
    <mergeCell ref="S3:T3"/>
    <mergeCell ref="V3:W3"/>
    <mergeCell ref="X3:Y3"/>
    <mergeCell ref="Z3:AA3"/>
    <mergeCell ref="B4:B5"/>
    <mergeCell ref="P4:Q4"/>
    <mergeCell ref="S4:T4"/>
    <mergeCell ref="V4:W4"/>
    <mergeCell ref="X4:Y4"/>
    <mergeCell ref="D2:N2"/>
    <mergeCell ref="P2:Q2"/>
    <mergeCell ref="S2:T2"/>
    <mergeCell ref="V2:W2"/>
    <mergeCell ref="X2:Y2"/>
    <mergeCell ref="Z2:AA2"/>
  </mergeCells>
  <printOptions/>
  <pageMargins left="0.2701388888888889" right="0.2798611111111111" top="1.025" bottom="1.025" header="0.7875" footer="0.7875"/>
  <pageSetup firstPageNumber="1" useFirstPageNumber="1" fitToHeight="1" fitToWidth="1" horizontalDpi="300" verticalDpi="300" orientation="portrait" paperSize="9" scale="57" r:id="rId3"/>
  <headerFooter alignWithMargins="0">
    <oddHeader>&amp;C&amp;A</oddHeader>
    <oddFooter>&amp;CPage &amp;P</oddFooter>
  </headerFooter>
  <legacyDrawing r:id="rId2"/>
</worksheet>
</file>

<file path=xl/worksheets/sheet4.xml><?xml version="1.0" encoding="utf-8"?>
<worksheet xmlns="http://schemas.openxmlformats.org/spreadsheetml/2006/main" xmlns:r="http://schemas.openxmlformats.org/officeDocument/2006/relationships">
  <dimension ref="A2:K26"/>
  <sheetViews>
    <sheetView showGridLines="0" tabSelected="1" view="pageBreakPreview" zoomScale="60" zoomScalePageLayoutView="0" workbookViewId="0" topLeftCell="A1">
      <selection activeCell="J24" sqref="J24"/>
    </sheetView>
  </sheetViews>
  <sheetFormatPr defaultColWidth="11.57421875" defaultRowHeight="12.75"/>
  <cols>
    <col min="1" max="1" width="3.421875" style="135" customWidth="1"/>
    <col min="2" max="2" width="26.28125" style="135" customWidth="1"/>
    <col min="3" max="3" width="21.421875" style="135" customWidth="1"/>
    <col min="4" max="4" width="29.140625" style="135" customWidth="1"/>
    <col min="5" max="5" width="15.8515625" style="135" customWidth="1"/>
    <col min="6" max="6" width="18.140625" style="135" customWidth="1"/>
    <col min="7" max="7" width="14.140625" style="135" customWidth="1"/>
    <col min="8" max="8" width="14.7109375" style="135" customWidth="1"/>
    <col min="9" max="9" width="14.140625" style="135" customWidth="1"/>
    <col min="10" max="10" width="10.7109375" style="135" customWidth="1"/>
    <col min="11" max="11" width="10.00390625" style="135" customWidth="1"/>
    <col min="12" max="16384" width="11.57421875" style="135" customWidth="1"/>
  </cols>
  <sheetData>
    <row r="2" ht="12.75" customHeight="1">
      <c r="B2" s="136" t="s">
        <v>95</v>
      </c>
    </row>
    <row r="3" spans="2:11" ht="12.75" customHeight="1">
      <c r="B3" s="212" t="s">
        <v>96</v>
      </c>
      <c r="C3" s="212"/>
      <c r="D3" s="212"/>
      <c r="E3" s="212"/>
      <c r="F3" s="212"/>
      <c r="G3" s="212"/>
      <c r="H3" s="212"/>
      <c r="I3" s="212"/>
      <c r="J3" s="212"/>
      <c r="K3" s="212"/>
    </row>
    <row r="4" spans="2:11" ht="12.75" customHeight="1">
      <c r="B4" s="212"/>
      <c r="C4" s="212"/>
      <c r="D4" s="212"/>
      <c r="E4" s="212"/>
      <c r="F4" s="212"/>
      <c r="G4" s="212"/>
      <c r="H4" s="212"/>
      <c r="I4" s="212"/>
      <c r="J4" s="212"/>
      <c r="K4" s="212"/>
    </row>
    <row r="5" spans="2:11" ht="28.5" customHeight="1">
      <c r="B5" s="137" t="s">
        <v>97</v>
      </c>
      <c r="C5" s="137" t="s">
        <v>98</v>
      </c>
      <c r="D5" s="137" t="s">
        <v>99</v>
      </c>
      <c r="E5" s="137" t="s">
        <v>100</v>
      </c>
      <c r="F5" s="137" t="s">
        <v>101</v>
      </c>
      <c r="G5" s="137" t="s">
        <v>102</v>
      </c>
      <c r="H5" s="137" t="s">
        <v>103</v>
      </c>
      <c r="I5" s="137" t="s">
        <v>104</v>
      </c>
      <c r="J5" s="213" t="s">
        <v>105</v>
      </c>
      <c r="K5" s="213"/>
    </row>
    <row r="6" spans="2:11" ht="18" customHeight="1">
      <c r="B6" s="138" t="s">
        <v>106</v>
      </c>
      <c r="C6" s="139" t="s">
        <v>107</v>
      </c>
      <c r="D6" s="139" t="s">
        <v>108</v>
      </c>
      <c r="E6" s="139" t="s">
        <v>109</v>
      </c>
      <c r="F6" s="139" t="s">
        <v>110</v>
      </c>
      <c r="G6" s="139" t="s">
        <v>111</v>
      </c>
      <c r="H6" s="140">
        <v>16680</v>
      </c>
      <c r="I6" s="141">
        <f>H6*3.7</f>
        <v>61716</v>
      </c>
      <c r="J6" s="142">
        <f>H6*3.1</f>
        <v>51708</v>
      </c>
      <c r="K6" s="140">
        <f>H6*4.8</f>
        <v>80064</v>
      </c>
    </row>
    <row r="7" spans="2:11" ht="18" customHeight="1">
      <c r="B7" s="143" t="s">
        <v>112</v>
      </c>
      <c r="C7" s="144" t="s">
        <v>107</v>
      </c>
      <c r="D7" s="144" t="s">
        <v>108</v>
      </c>
      <c r="E7" s="144" t="s">
        <v>109</v>
      </c>
      <c r="F7" s="144" t="s">
        <v>113</v>
      </c>
      <c r="G7" s="144" t="s">
        <v>114</v>
      </c>
      <c r="H7" s="145">
        <v>22778</v>
      </c>
      <c r="I7" s="146">
        <f>H7*3.2</f>
        <v>72889.6</v>
      </c>
      <c r="J7" s="147">
        <f>H7*2.7</f>
        <v>61500.600000000006</v>
      </c>
      <c r="K7" s="145">
        <f>H7*4.1</f>
        <v>93389.79999999999</v>
      </c>
    </row>
    <row r="8" spans="1:11" ht="20.25" customHeight="1">
      <c r="A8" s="148"/>
      <c r="B8" s="136" t="s">
        <v>115</v>
      </c>
      <c r="C8" s="149"/>
      <c r="D8" s="149"/>
      <c r="E8" s="149"/>
      <c r="F8" s="150"/>
      <c r="G8" s="150"/>
      <c r="H8" s="151"/>
      <c r="I8" s="151"/>
      <c r="J8" s="151"/>
      <c r="K8" s="152"/>
    </row>
    <row r="9" spans="2:11" ht="12.75" customHeight="1">
      <c r="B9" s="212" t="s">
        <v>96</v>
      </c>
      <c r="C9" s="212"/>
      <c r="D9" s="212"/>
      <c r="E9" s="212"/>
      <c r="F9" s="212"/>
      <c r="G9" s="212"/>
      <c r="H9" s="212"/>
      <c r="I9" s="212"/>
      <c r="J9" s="212"/>
      <c r="K9" s="212"/>
    </row>
    <row r="10" spans="2:11" ht="12.75">
      <c r="B10" s="212"/>
      <c r="C10" s="212"/>
      <c r="D10" s="212"/>
      <c r="E10" s="212"/>
      <c r="F10" s="212"/>
      <c r="G10" s="212"/>
      <c r="H10" s="212"/>
      <c r="I10" s="212"/>
      <c r="J10" s="212"/>
      <c r="K10" s="212"/>
    </row>
    <row r="11" spans="2:11" ht="28.5" customHeight="1">
      <c r="B11" s="153" t="s">
        <v>97</v>
      </c>
      <c r="C11" s="153" t="s">
        <v>98</v>
      </c>
      <c r="D11" s="153" t="s">
        <v>99</v>
      </c>
      <c r="E11" s="153" t="s">
        <v>100</v>
      </c>
      <c r="F11" s="153" t="s">
        <v>101</v>
      </c>
      <c r="G11" s="153" t="s">
        <v>102</v>
      </c>
      <c r="H11" s="153" t="s">
        <v>103</v>
      </c>
      <c r="I11" s="153" t="s">
        <v>104</v>
      </c>
      <c r="J11" s="214" t="s">
        <v>105</v>
      </c>
      <c r="K11" s="214"/>
    </row>
    <row r="12" spans="2:11" ht="12.75" customHeight="1">
      <c r="B12" s="215" t="s">
        <v>116</v>
      </c>
      <c r="C12" s="154" t="s">
        <v>117</v>
      </c>
      <c r="D12" s="216" t="s">
        <v>108</v>
      </c>
      <c r="E12" s="216" t="s">
        <v>109</v>
      </c>
      <c r="F12" s="155" t="s">
        <v>118</v>
      </c>
      <c r="G12" s="156" t="s">
        <v>119</v>
      </c>
      <c r="H12" s="157">
        <v>18853</v>
      </c>
      <c r="I12" s="158">
        <f>H12*2.5</f>
        <v>47132.5</v>
      </c>
      <c r="J12" s="157">
        <f>H12*2</f>
        <v>37706</v>
      </c>
      <c r="K12" s="145">
        <f>H12*3.3</f>
        <v>62214.899999999994</v>
      </c>
    </row>
    <row r="13" spans="2:11" ht="12.75">
      <c r="B13" s="215"/>
      <c r="C13" s="159" t="s">
        <v>29</v>
      </c>
      <c r="D13" s="216"/>
      <c r="E13" s="216"/>
      <c r="F13" s="160" t="s">
        <v>120</v>
      </c>
      <c r="G13" s="161" t="s">
        <v>121</v>
      </c>
      <c r="H13" s="162">
        <v>19513</v>
      </c>
      <c r="I13" s="163">
        <f>H13*2.4</f>
        <v>46831.2</v>
      </c>
      <c r="J13" s="164">
        <f>H13*1.8</f>
        <v>35123.4</v>
      </c>
      <c r="K13" s="157">
        <f>H13*3.6</f>
        <v>70246.8</v>
      </c>
    </row>
    <row r="14" spans="2:11" ht="12.75">
      <c r="B14" s="215"/>
      <c r="C14" s="165" t="s">
        <v>122</v>
      </c>
      <c r="D14" s="216"/>
      <c r="E14" s="216"/>
      <c r="F14" s="139" t="s">
        <v>123</v>
      </c>
      <c r="G14" s="166" t="s">
        <v>124</v>
      </c>
      <c r="H14" s="140">
        <v>19513</v>
      </c>
      <c r="I14" s="141">
        <f>H14*2.6</f>
        <v>50733.8</v>
      </c>
      <c r="J14" s="142">
        <f>H14*2</f>
        <v>39026</v>
      </c>
      <c r="K14" s="140">
        <f>H14*3.9</f>
        <v>76100.7</v>
      </c>
    </row>
    <row r="15" spans="2:11" ht="12.75" customHeight="1">
      <c r="B15" s="138" t="s">
        <v>125</v>
      </c>
      <c r="C15" s="165" t="s">
        <v>126</v>
      </c>
      <c r="D15" s="139" t="s">
        <v>108</v>
      </c>
      <c r="E15" s="139" t="s">
        <v>109</v>
      </c>
      <c r="F15" s="139" t="s">
        <v>127</v>
      </c>
      <c r="G15" s="166" t="s">
        <v>128</v>
      </c>
      <c r="H15" s="145">
        <v>18017</v>
      </c>
      <c r="I15" s="167">
        <f>H15*2.7</f>
        <v>48645.9</v>
      </c>
      <c r="J15" s="147">
        <f>H15*1.9</f>
        <v>34232.299999999996</v>
      </c>
      <c r="K15" s="145">
        <f>H15*4.3</f>
        <v>77473.09999999999</v>
      </c>
    </row>
    <row r="16" spans="2:11" ht="12.75" customHeight="1">
      <c r="B16" s="215" t="s">
        <v>129</v>
      </c>
      <c r="C16" s="154" t="s">
        <v>107</v>
      </c>
      <c r="D16" s="216" t="s">
        <v>108</v>
      </c>
      <c r="E16" s="216" t="s">
        <v>109</v>
      </c>
      <c r="F16" s="155" t="s">
        <v>130</v>
      </c>
      <c r="G16" s="156" t="s">
        <v>131</v>
      </c>
      <c r="H16" s="157">
        <v>23317</v>
      </c>
      <c r="I16" s="168">
        <f>H16*2.2</f>
        <v>51297.4</v>
      </c>
      <c r="J16" s="169">
        <f>H16*1.9</f>
        <v>44302.299999999996</v>
      </c>
      <c r="K16" s="157">
        <f>H16*2.7</f>
        <v>62955.9</v>
      </c>
    </row>
    <row r="17" spans="2:11" ht="12.75">
      <c r="B17" s="215"/>
      <c r="C17" s="159" t="s">
        <v>29</v>
      </c>
      <c r="D17" s="216"/>
      <c r="E17" s="216"/>
      <c r="F17" s="170" t="s">
        <v>132</v>
      </c>
      <c r="G17" s="171" t="s">
        <v>133</v>
      </c>
      <c r="H17" s="172">
        <v>23629</v>
      </c>
      <c r="I17" s="173">
        <f>H17*1.7</f>
        <v>40169.299999999996</v>
      </c>
      <c r="J17" s="174">
        <f>H17*1.4</f>
        <v>33080.6</v>
      </c>
      <c r="K17" s="172">
        <f>H17*2.1</f>
        <v>49620.9</v>
      </c>
    </row>
    <row r="18" spans="2:11" ht="12.75" customHeight="1">
      <c r="B18" s="215"/>
      <c r="C18" s="159" t="s">
        <v>122</v>
      </c>
      <c r="D18" s="216"/>
      <c r="E18" s="216"/>
      <c r="F18" s="170" t="s">
        <v>134</v>
      </c>
      <c r="G18" s="171" t="s">
        <v>135</v>
      </c>
      <c r="H18" s="172">
        <v>24224</v>
      </c>
      <c r="I18" s="173">
        <f>H18*2.3</f>
        <v>55715.2</v>
      </c>
      <c r="J18" s="174">
        <f>H18*1.6</f>
        <v>38758.4</v>
      </c>
      <c r="K18" s="172">
        <f>H18*4</f>
        <v>96896</v>
      </c>
    </row>
    <row r="19" spans="2:11" ht="12.75">
      <c r="B19" s="215"/>
      <c r="C19" s="165" t="s">
        <v>136</v>
      </c>
      <c r="D19" s="216"/>
      <c r="E19" s="216"/>
      <c r="F19" s="139" t="s">
        <v>137</v>
      </c>
      <c r="G19" s="166" t="s">
        <v>138</v>
      </c>
      <c r="H19" s="140">
        <v>22155</v>
      </c>
      <c r="I19" s="175">
        <f>H19*4.2</f>
        <v>93051</v>
      </c>
      <c r="J19" s="142">
        <f>H19*2.8</f>
        <v>62033.99999999999</v>
      </c>
      <c r="K19" s="140">
        <f>H19*9.1</f>
        <v>201610.5</v>
      </c>
    </row>
    <row r="21" spans="2:4" ht="12.75">
      <c r="B21" s="176" t="s">
        <v>139</v>
      </c>
      <c r="D21" s="176"/>
    </row>
    <row r="22" spans="2:4" ht="12.75">
      <c r="B22" s="176"/>
      <c r="D22" s="176"/>
    </row>
    <row r="23" spans="2:4" ht="12.75">
      <c r="B23" s="176" t="s">
        <v>140</v>
      </c>
      <c r="D23" s="176"/>
    </row>
    <row r="24" spans="2:4" ht="12.75">
      <c r="B24" s="176" t="s">
        <v>141</v>
      </c>
      <c r="D24" s="176"/>
    </row>
    <row r="25" spans="2:4" ht="12.75">
      <c r="B25" s="176"/>
      <c r="D25" s="176"/>
    </row>
    <row r="26" spans="2:4" ht="12.75">
      <c r="B26" s="176" t="s">
        <v>142</v>
      </c>
      <c r="D26" s="176"/>
    </row>
  </sheetData>
  <sheetProtection selectLockedCells="1" selectUnlockedCells="1"/>
  <mergeCells count="10">
    <mergeCell ref="B16:B19"/>
    <mergeCell ref="D16:D19"/>
    <mergeCell ref="E16:E19"/>
    <mergeCell ref="B3:K4"/>
    <mergeCell ref="J5:K5"/>
    <mergeCell ref="B9:K10"/>
    <mergeCell ref="J11:K11"/>
    <mergeCell ref="B12:B14"/>
    <mergeCell ref="D12:D14"/>
    <mergeCell ref="E12:E14"/>
  </mergeCells>
  <printOptions/>
  <pageMargins left="0.7479166666666667" right="0.7479166666666667" top="0.9840277777777777" bottom="0.9840277777777777" header="0.5118055555555555" footer="0.5118055555555555"/>
  <pageSetup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Lola</dc:creator>
  <cp:keywords/>
  <dc:description/>
  <cp:lastModifiedBy>HPpro3130MT</cp:lastModifiedBy>
  <cp:lastPrinted>2012-01-24T12:28:54Z</cp:lastPrinted>
  <dcterms:created xsi:type="dcterms:W3CDTF">2011-12-14T09:30:52Z</dcterms:created>
  <dcterms:modified xsi:type="dcterms:W3CDTF">2012-05-13T09:36:53Z</dcterms:modified>
  <cp:category/>
  <cp:version/>
  <cp:contentType/>
  <cp:contentStatus/>
  <cp:revision>2</cp:revision>
</cp:coreProperties>
</file>